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AUAMTONLY!!!!\GLM\IGM_VIS\Ausschreibung_Reinigung\OS Nossen\"/>
    </mc:Choice>
  </mc:AlternateContent>
  <xr:revisionPtr revIDLastSave="0" documentId="8_{08F5A8B9-6FD0-4CCA-847A-B1484D382F8F}" xr6:coauthVersionLast="47" xr6:coauthVersionMax="47" xr10:uidLastSave="{00000000-0000-0000-0000-000000000000}"/>
  <bookViews>
    <workbookView xWindow="28680" yWindow="-120" windowWidth="29040" windowHeight="15840" firstSheet="3" activeTab="7" xr2:uid="{2FF98387-342E-4D3E-9792-128FA503A889}"/>
  </bookViews>
  <sheets>
    <sheet name="Inhaltsverzeichnis" sheetId="1" r:id="rId1"/>
    <sheet name="Preisübersicht" sheetId="2" r:id="rId2"/>
    <sheet name="SVS UnterhaltsRG" sheetId="4" r:id="rId3"/>
    <sheet name="SVS GrundRG" sheetId="5" r:id="rId4"/>
    <sheet name="Lei Unter OS Nossen" sheetId="6" r:id="rId5"/>
    <sheet name="Kal Unter OS Nossen" sheetId="7" r:id="rId6"/>
    <sheet name="Lei Unter TH OS Nossen" sheetId="9" r:id="rId7"/>
    <sheet name="Kal Unter TH OS Nossen" sheetId="11" r:id="rId8"/>
    <sheet name="Lei Unter GTA OS Nossen" sheetId="12" r:id="rId9"/>
    <sheet name="Kal Unter GTA OS Nossen" sheetId="13" r:id="rId10"/>
    <sheet name="Lei Unter TH OS Nossen (Ferien)" sheetId="22" r:id="rId11"/>
    <sheet name="Kal Unter TH OS Nossen (Ferien)" sheetId="23" r:id="rId12"/>
    <sheet name="Lei Grund OS Nossen" sheetId="14" r:id="rId13"/>
    <sheet name="Kal Grund OS Nossen" sheetId="15" r:id="rId14"/>
    <sheet name="Lei Grund TH OS Nossen" sheetId="16" r:id="rId15"/>
    <sheet name="Kal Grund TH OS Nossen" sheetId="17" r:id="rId16"/>
    <sheet name="Lei Grund GTA OS Nossen" sheetId="18" r:id="rId17"/>
    <sheet name="Kal Grund GTA OS Nossen" sheetId="19" r:id="rId18"/>
    <sheet name="Reinigungstage" sheetId="8" r:id="rId1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9" l="1"/>
  <c r="B3" i="2"/>
  <c r="M5" i="17"/>
  <c r="H5" i="17"/>
  <c r="I5" i="17"/>
  <c r="G5" i="17"/>
  <c r="L39" i="17"/>
  <c r="M39" i="17" s="1"/>
  <c r="N39" i="17"/>
  <c r="M5" i="23"/>
  <c r="H5" i="23"/>
  <c r="I5" i="23"/>
  <c r="G5" i="23"/>
  <c r="C11" i="22"/>
  <c r="L39" i="23"/>
  <c r="M39" i="23" s="1"/>
  <c r="N39" i="23"/>
  <c r="H5" i="11"/>
  <c r="I5" i="11"/>
  <c r="G5" i="11"/>
  <c r="L39" i="11"/>
  <c r="M39" i="11" s="1"/>
  <c r="N39" i="11"/>
  <c r="N6" i="19"/>
  <c r="H5" i="19"/>
  <c r="I5" i="19"/>
  <c r="C14" i="14"/>
  <c r="C13" i="14"/>
  <c r="C12" i="14"/>
  <c r="C11" i="14"/>
  <c r="C10" i="14"/>
  <c r="C9" i="14"/>
  <c r="C8" i="14"/>
  <c r="C7" i="14"/>
  <c r="C6" i="14"/>
  <c r="M5" i="15"/>
  <c r="H5" i="15"/>
  <c r="I5" i="15"/>
  <c r="G5" i="15"/>
  <c r="L15" i="23"/>
  <c r="M15" i="23" s="1"/>
  <c r="N15" i="23"/>
  <c r="P15" i="23" s="1"/>
  <c r="L16" i="23"/>
  <c r="M16" i="23" s="1"/>
  <c r="N16" i="23"/>
  <c r="L17" i="23"/>
  <c r="M17" i="23" s="1"/>
  <c r="N17" i="23"/>
  <c r="L18" i="23"/>
  <c r="M18" i="23" s="1"/>
  <c r="N18" i="23"/>
  <c r="P18" i="23" s="1"/>
  <c r="L19" i="23"/>
  <c r="M19" i="23" s="1"/>
  <c r="N19" i="23"/>
  <c r="P19" i="23" s="1"/>
  <c r="L20" i="23"/>
  <c r="M20" i="23" s="1"/>
  <c r="P20" i="23" s="1"/>
  <c r="N20" i="23"/>
  <c r="L21" i="23"/>
  <c r="M21" i="23" s="1"/>
  <c r="N21" i="23"/>
  <c r="L22" i="23"/>
  <c r="M22" i="23" s="1"/>
  <c r="N22" i="23"/>
  <c r="P22" i="23" s="1"/>
  <c r="L23" i="23"/>
  <c r="M23" i="23" s="1"/>
  <c r="N23" i="23"/>
  <c r="L24" i="23"/>
  <c r="M24" i="23" s="1"/>
  <c r="N24" i="23"/>
  <c r="P24" i="23" s="1"/>
  <c r="L25" i="23"/>
  <c r="M25" i="23" s="1"/>
  <c r="N25" i="23"/>
  <c r="P25" i="23" s="1"/>
  <c r="L26" i="23"/>
  <c r="M26" i="23" s="1"/>
  <c r="N26" i="23"/>
  <c r="L27" i="23"/>
  <c r="M27" i="23" s="1"/>
  <c r="N27" i="23"/>
  <c r="L28" i="23"/>
  <c r="M28" i="23" s="1"/>
  <c r="N28" i="23"/>
  <c r="P28" i="23" s="1"/>
  <c r="L29" i="23"/>
  <c r="M29" i="23" s="1"/>
  <c r="P29" i="23" s="1"/>
  <c r="N29" i="23"/>
  <c r="L30" i="23"/>
  <c r="M30" i="23" s="1"/>
  <c r="N30" i="23"/>
  <c r="L31" i="23"/>
  <c r="M31" i="23" s="1"/>
  <c r="N31" i="23"/>
  <c r="P31" i="23" s="1"/>
  <c r="L32" i="23"/>
  <c r="M32" i="23" s="1"/>
  <c r="N32" i="23"/>
  <c r="L33" i="23"/>
  <c r="M33" i="23" s="1"/>
  <c r="P33" i="23" s="1"/>
  <c r="N33" i="23"/>
  <c r="L34" i="23"/>
  <c r="M34" i="23" s="1"/>
  <c r="N34" i="23"/>
  <c r="P34" i="23"/>
  <c r="L35" i="23"/>
  <c r="M35" i="23" s="1"/>
  <c r="N35" i="23"/>
  <c r="P35" i="23" s="1"/>
  <c r="L36" i="23"/>
  <c r="M36" i="23" s="1"/>
  <c r="N36" i="23"/>
  <c r="L37" i="23"/>
  <c r="M37" i="23" s="1"/>
  <c r="N37" i="23"/>
  <c r="P37" i="23" s="1"/>
  <c r="L38" i="23"/>
  <c r="M38" i="23" s="1"/>
  <c r="N38" i="23"/>
  <c r="P38" i="23" s="1"/>
  <c r="F42" i="5"/>
  <c r="P32" i="23" l="1"/>
  <c r="R32" i="23" s="1"/>
  <c r="P30" i="23"/>
  <c r="P21" i="23"/>
  <c r="R21" i="23" s="1"/>
  <c r="C11" i="16"/>
  <c r="C10" i="16"/>
  <c r="P39" i="17"/>
  <c r="R39" i="17" s="1"/>
  <c r="P39" i="23"/>
  <c r="P36" i="23"/>
  <c r="R36" i="23" s="1"/>
  <c r="P17" i="23"/>
  <c r="R17" i="23" s="1"/>
  <c r="P26" i="23"/>
  <c r="R26" i="23" s="1"/>
  <c r="P16" i="23"/>
  <c r="P39" i="11"/>
  <c r="P23" i="23"/>
  <c r="R23" i="23" s="1"/>
  <c r="P27" i="23"/>
  <c r="R27" i="23" s="1"/>
  <c r="R38" i="23"/>
  <c r="R37" i="23"/>
  <c r="R35" i="23"/>
  <c r="R33" i="23"/>
  <c r="R30" i="23"/>
  <c r="R28" i="23"/>
  <c r="R25" i="23"/>
  <c r="R19" i="23"/>
  <c r="R16" i="23"/>
  <c r="R34" i="23"/>
  <c r="R31" i="23"/>
  <c r="R29" i="23"/>
  <c r="R24" i="23"/>
  <c r="R22" i="23"/>
  <c r="R20" i="23"/>
  <c r="R18" i="23"/>
  <c r="R15" i="23"/>
  <c r="N7" i="17"/>
  <c r="P7" i="17" s="1"/>
  <c r="N8" i="17"/>
  <c r="P8" i="17" s="1"/>
  <c r="N9" i="17"/>
  <c r="P9" i="17" s="1"/>
  <c r="N10" i="17"/>
  <c r="P10" i="17" s="1"/>
  <c r="N11" i="17"/>
  <c r="P11" i="17" s="1"/>
  <c r="N12" i="17"/>
  <c r="P12" i="17" s="1"/>
  <c r="N13" i="17"/>
  <c r="P13" i="17" s="1"/>
  <c r="N14" i="17"/>
  <c r="P14" i="17" s="1"/>
  <c r="N15" i="17"/>
  <c r="P15" i="17" s="1"/>
  <c r="N16" i="17"/>
  <c r="P16" i="17" s="1"/>
  <c r="N17" i="17"/>
  <c r="P17" i="17" s="1"/>
  <c r="N18" i="17"/>
  <c r="N19" i="17"/>
  <c r="P19" i="17" s="1"/>
  <c r="N20" i="17"/>
  <c r="P20" i="17" s="1"/>
  <c r="N21" i="17"/>
  <c r="P21" i="17" s="1"/>
  <c r="N22" i="17"/>
  <c r="P22" i="17" s="1"/>
  <c r="N23" i="17"/>
  <c r="P23" i="17" s="1"/>
  <c r="N24" i="17"/>
  <c r="P24" i="17" s="1"/>
  <c r="N25" i="17"/>
  <c r="P25" i="17" s="1"/>
  <c r="N26" i="17"/>
  <c r="P26" i="17" s="1"/>
  <c r="N27" i="17"/>
  <c r="P27" i="17" s="1"/>
  <c r="N28" i="17"/>
  <c r="P28" i="17" s="1"/>
  <c r="N29" i="17"/>
  <c r="P29" i="17" s="1"/>
  <c r="N30" i="17"/>
  <c r="P30" i="17" s="1"/>
  <c r="N31" i="17"/>
  <c r="P31" i="17" s="1"/>
  <c r="N32" i="17"/>
  <c r="P32" i="17" s="1"/>
  <c r="N33" i="17"/>
  <c r="P33" i="17" s="1"/>
  <c r="N34" i="17"/>
  <c r="P34" i="17" s="1"/>
  <c r="N35" i="17"/>
  <c r="P35" i="17" s="1"/>
  <c r="N36" i="17"/>
  <c r="P36" i="17" s="1"/>
  <c r="N37" i="17"/>
  <c r="P37" i="17" s="1"/>
  <c r="N38" i="17"/>
  <c r="P38" i="17" s="1"/>
  <c r="L7" i="17"/>
  <c r="M7" i="17" s="1"/>
  <c r="L8" i="17"/>
  <c r="M8" i="17" s="1"/>
  <c r="L9" i="17"/>
  <c r="M9" i="17" s="1"/>
  <c r="L10" i="17"/>
  <c r="M10" i="17" s="1"/>
  <c r="L11" i="17"/>
  <c r="M11" i="17" s="1"/>
  <c r="L12" i="17"/>
  <c r="M12" i="17" s="1"/>
  <c r="L13" i="17"/>
  <c r="M13" i="17" s="1"/>
  <c r="L14" i="17"/>
  <c r="M14" i="17" s="1"/>
  <c r="L15" i="17"/>
  <c r="M15" i="17" s="1"/>
  <c r="L16" i="17"/>
  <c r="M16" i="17" s="1"/>
  <c r="L17" i="17"/>
  <c r="M17" i="17" s="1"/>
  <c r="L18" i="17"/>
  <c r="M18" i="17" s="1"/>
  <c r="P18" i="17"/>
  <c r="L19" i="17"/>
  <c r="M19" i="17" s="1"/>
  <c r="L20" i="17"/>
  <c r="M20" i="17" s="1"/>
  <c r="L21" i="17"/>
  <c r="M21" i="17" s="1"/>
  <c r="L22" i="17"/>
  <c r="M22" i="17" s="1"/>
  <c r="L23" i="17"/>
  <c r="M23" i="17" s="1"/>
  <c r="L24" i="17"/>
  <c r="M24" i="17" s="1"/>
  <c r="L25" i="17"/>
  <c r="M25" i="17" s="1"/>
  <c r="L26" i="17"/>
  <c r="M26" i="17" s="1"/>
  <c r="L27" i="17"/>
  <c r="M27" i="17" s="1"/>
  <c r="L28" i="17"/>
  <c r="M28" i="17" s="1"/>
  <c r="L29" i="17"/>
  <c r="M29" i="17" s="1"/>
  <c r="L30" i="17"/>
  <c r="M30" i="17" s="1"/>
  <c r="L31" i="17"/>
  <c r="M31" i="17" s="1"/>
  <c r="L32" i="17"/>
  <c r="M32" i="17" s="1"/>
  <c r="L33" i="17"/>
  <c r="M33" i="17" s="1"/>
  <c r="L34" i="17"/>
  <c r="M34" i="17" s="1"/>
  <c r="L35" i="17"/>
  <c r="M35" i="17" s="1"/>
  <c r="L36" i="17"/>
  <c r="M36" i="17" s="1"/>
  <c r="L37" i="17"/>
  <c r="M37" i="17" s="1"/>
  <c r="L38" i="17"/>
  <c r="M38" i="17" s="1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P66" i="15" s="1"/>
  <c r="N67" i="15"/>
  <c r="P67" i="15" s="1"/>
  <c r="N68" i="15"/>
  <c r="P68" i="15" s="1"/>
  <c r="N69" i="15"/>
  <c r="P69" i="15" s="1"/>
  <c r="N70" i="15"/>
  <c r="P70" i="15" s="1"/>
  <c r="N71" i="15"/>
  <c r="P71" i="15" s="1"/>
  <c r="N72" i="15"/>
  <c r="P72" i="15" s="1"/>
  <c r="N73" i="15"/>
  <c r="P73" i="15" s="1"/>
  <c r="N74" i="15"/>
  <c r="P74" i="15" s="1"/>
  <c r="N75" i="15"/>
  <c r="P75" i="15" s="1"/>
  <c r="N76" i="15"/>
  <c r="P76" i="15" s="1"/>
  <c r="N77" i="15"/>
  <c r="P77" i="15" s="1"/>
  <c r="N78" i="15"/>
  <c r="P78" i="15" s="1"/>
  <c r="N79" i="15"/>
  <c r="P79" i="15" s="1"/>
  <c r="N80" i="15"/>
  <c r="P80" i="15" s="1"/>
  <c r="N81" i="15"/>
  <c r="P81" i="15" s="1"/>
  <c r="N82" i="15"/>
  <c r="P82" i="15" s="1"/>
  <c r="N83" i="15"/>
  <c r="P83" i="15" s="1"/>
  <c r="N84" i="15"/>
  <c r="P84" i="15" s="1"/>
  <c r="N85" i="15"/>
  <c r="P85" i="15" s="1"/>
  <c r="N86" i="15"/>
  <c r="P86" i="15" s="1"/>
  <c r="N87" i="15"/>
  <c r="P87" i="15" s="1"/>
  <c r="N88" i="15"/>
  <c r="P88" i="15" s="1"/>
  <c r="N89" i="15"/>
  <c r="P89" i="15" s="1"/>
  <c r="N90" i="15"/>
  <c r="P90" i="15" s="1"/>
  <c r="N91" i="15"/>
  <c r="P91" i="15" s="1"/>
  <c r="N92" i="15"/>
  <c r="P92" i="15" s="1"/>
  <c r="N93" i="15"/>
  <c r="P93" i="15" s="1"/>
  <c r="N94" i="15"/>
  <c r="P94" i="15" s="1"/>
  <c r="N95" i="15"/>
  <c r="P95" i="15" s="1"/>
  <c r="N96" i="15"/>
  <c r="P96" i="15" s="1"/>
  <c r="N97" i="15"/>
  <c r="P97" i="15" s="1"/>
  <c r="N98" i="15"/>
  <c r="P98" i="15" s="1"/>
  <c r="N99" i="15"/>
  <c r="N100" i="15"/>
  <c r="P100" i="15" s="1"/>
  <c r="N101" i="15"/>
  <c r="P101" i="15" s="1"/>
  <c r="N102" i="15"/>
  <c r="P102" i="15" s="1"/>
  <c r="N103" i="15"/>
  <c r="P103" i="15" s="1"/>
  <c r="N104" i="15"/>
  <c r="P104" i="15" s="1"/>
  <c r="N105" i="15"/>
  <c r="P105" i="15" s="1"/>
  <c r="N6" i="15"/>
  <c r="L66" i="15"/>
  <c r="M66" i="15" s="1"/>
  <c r="L67" i="15"/>
  <c r="M67" i="15" s="1"/>
  <c r="L68" i="15"/>
  <c r="M68" i="15" s="1"/>
  <c r="L69" i="15"/>
  <c r="M69" i="15" s="1"/>
  <c r="L70" i="15"/>
  <c r="M70" i="15" s="1"/>
  <c r="L71" i="15"/>
  <c r="M71" i="15" s="1"/>
  <c r="L72" i="15"/>
  <c r="M72" i="15" s="1"/>
  <c r="L73" i="15"/>
  <c r="M73" i="15" s="1"/>
  <c r="L74" i="15"/>
  <c r="M74" i="15" s="1"/>
  <c r="L75" i="15"/>
  <c r="M75" i="15" s="1"/>
  <c r="L76" i="15"/>
  <c r="M76" i="15" s="1"/>
  <c r="L77" i="15"/>
  <c r="M77" i="15" s="1"/>
  <c r="L78" i="15"/>
  <c r="M78" i="15" s="1"/>
  <c r="L79" i="15"/>
  <c r="M79" i="15" s="1"/>
  <c r="L80" i="15"/>
  <c r="M80" i="15" s="1"/>
  <c r="L81" i="15"/>
  <c r="M81" i="15" s="1"/>
  <c r="L82" i="15"/>
  <c r="M82" i="15" s="1"/>
  <c r="L83" i="15"/>
  <c r="M83" i="15" s="1"/>
  <c r="L84" i="15"/>
  <c r="M84" i="15" s="1"/>
  <c r="L85" i="15"/>
  <c r="M85" i="15" s="1"/>
  <c r="L86" i="15"/>
  <c r="M86" i="15" s="1"/>
  <c r="L87" i="15"/>
  <c r="M87" i="15" s="1"/>
  <c r="L88" i="15"/>
  <c r="M88" i="15" s="1"/>
  <c r="L89" i="15"/>
  <c r="M89" i="15" s="1"/>
  <c r="L90" i="15"/>
  <c r="M90" i="15" s="1"/>
  <c r="L91" i="15"/>
  <c r="M91" i="15" s="1"/>
  <c r="L92" i="15"/>
  <c r="M92" i="15" s="1"/>
  <c r="L93" i="15"/>
  <c r="M93" i="15" s="1"/>
  <c r="L94" i="15"/>
  <c r="M94" i="15" s="1"/>
  <c r="L95" i="15"/>
  <c r="M95" i="15" s="1"/>
  <c r="L96" i="15"/>
  <c r="M96" i="15" s="1"/>
  <c r="L97" i="15"/>
  <c r="M97" i="15" s="1"/>
  <c r="L98" i="15"/>
  <c r="M98" i="15" s="1"/>
  <c r="L99" i="15"/>
  <c r="M99" i="15" s="1"/>
  <c r="P99" i="15"/>
  <c r="L100" i="15"/>
  <c r="M100" i="15" s="1"/>
  <c r="L101" i="15"/>
  <c r="M101" i="15" s="1"/>
  <c r="L102" i="15"/>
  <c r="M102" i="15" s="1"/>
  <c r="L103" i="15"/>
  <c r="M103" i="15" s="1"/>
  <c r="L104" i="15"/>
  <c r="M104" i="15" s="1"/>
  <c r="L105" i="15"/>
  <c r="M105" i="15" s="1"/>
  <c r="G5" i="13"/>
  <c r="I5" i="13"/>
  <c r="R39" i="23" l="1"/>
  <c r="R39" i="11"/>
  <c r="R38" i="17"/>
  <c r="R37" i="17"/>
  <c r="R34" i="17"/>
  <c r="R32" i="17"/>
  <c r="R30" i="17"/>
  <c r="R27" i="17"/>
  <c r="R25" i="17"/>
  <c r="R24" i="17"/>
  <c r="R22" i="17"/>
  <c r="R21" i="17"/>
  <c r="R20" i="17"/>
  <c r="R19" i="17"/>
  <c r="R18" i="17"/>
  <c r="R17" i="17"/>
  <c r="R15" i="17"/>
  <c r="R13" i="17"/>
  <c r="R12" i="17"/>
  <c r="R11" i="17"/>
  <c r="R10" i="17"/>
  <c r="R9" i="17"/>
  <c r="R8" i="17"/>
  <c r="R7" i="17"/>
  <c r="R36" i="17"/>
  <c r="R35" i="17"/>
  <c r="R33" i="17"/>
  <c r="R31" i="17"/>
  <c r="R29" i="17"/>
  <c r="R28" i="17"/>
  <c r="R26" i="17"/>
  <c r="R23" i="17"/>
  <c r="R16" i="17"/>
  <c r="R14" i="17"/>
  <c r="R105" i="15"/>
  <c r="R104" i="15"/>
  <c r="R103" i="15"/>
  <c r="R102" i="15"/>
  <c r="R101" i="15"/>
  <c r="R100" i="15"/>
  <c r="R99" i="15"/>
  <c r="R98" i="15"/>
  <c r="R97" i="15"/>
  <c r="R96" i="15"/>
  <c r="R95" i="15"/>
  <c r="R94" i="15"/>
  <c r="R93" i="15"/>
  <c r="R92" i="15"/>
  <c r="R91" i="15"/>
  <c r="R90" i="15"/>
  <c r="R89" i="15"/>
  <c r="R88" i="15"/>
  <c r="R87" i="15"/>
  <c r="R86" i="15"/>
  <c r="R85" i="15"/>
  <c r="R84" i="15"/>
  <c r="R83" i="15"/>
  <c r="R82" i="15"/>
  <c r="R81" i="15"/>
  <c r="R80" i="15"/>
  <c r="R79" i="15"/>
  <c r="R78" i="15"/>
  <c r="R77" i="15"/>
  <c r="R76" i="15"/>
  <c r="R75" i="15"/>
  <c r="R74" i="15"/>
  <c r="R73" i="15"/>
  <c r="R72" i="15"/>
  <c r="R71" i="15"/>
  <c r="R70" i="15"/>
  <c r="R69" i="15"/>
  <c r="R68" i="15"/>
  <c r="R67" i="15"/>
  <c r="R66" i="15"/>
  <c r="B7" i="8" l="1"/>
  <c r="L14" i="11"/>
  <c r="L15" i="11"/>
  <c r="L18" i="11"/>
  <c r="L23" i="11"/>
  <c r="L37" i="11"/>
  <c r="L38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6" i="11" l="1"/>
  <c r="M37" i="11" l="1"/>
  <c r="M38" i="11"/>
  <c r="M15" i="11"/>
  <c r="M18" i="11"/>
  <c r="M23" i="11"/>
  <c r="P23" i="11" s="1"/>
  <c r="P18" i="11" l="1"/>
  <c r="R18" i="11" s="1"/>
  <c r="M5" i="11"/>
  <c r="C11" i="9"/>
  <c r="P15" i="11"/>
  <c r="R15" i="11" s="1"/>
  <c r="P38" i="11"/>
  <c r="P37" i="11"/>
  <c r="R23" i="11"/>
  <c r="R37" i="11" l="1"/>
  <c r="R38" i="11"/>
  <c r="N8" i="7" l="1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M7" i="7"/>
  <c r="L7" i="7"/>
  <c r="G5" i="7" l="1"/>
  <c r="N6" i="7"/>
  <c r="N7" i="7"/>
  <c r="P7" i="7" s="1"/>
  <c r="N7" i="23"/>
  <c r="P7" i="23" s="1"/>
  <c r="R7" i="23" s="1"/>
  <c r="N8" i="23"/>
  <c r="P8" i="23" s="1"/>
  <c r="N9" i="23"/>
  <c r="N10" i="23"/>
  <c r="N11" i="23"/>
  <c r="N12" i="23"/>
  <c r="N13" i="23"/>
  <c r="N14" i="23"/>
  <c r="N6" i="23"/>
  <c r="L7" i="23"/>
  <c r="M7" i="23" s="1"/>
  <c r="L8" i="23"/>
  <c r="M8" i="23" s="1"/>
  <c r="L9" i="23"/>
  <c r="M9" i="23" s="1"/>
  <c r="L10" i="23"/>
  <c r="M10" i="23" s="1"/>
  <c r="L11" i="23"/>
  <c r="M11" i="23" s="1"/>
  <c r="L12" i="23"/>
  <c r="M12" i="23" s="1"/>
  <c r="L13" i="23"/>
  <c r="M13" i="23" s="1"/>
  <c r="L14" i="23"/>
  <c r="M14" i="23" s="1"/>
  <c r="L6" i="23"/>
  <c r="P12" i="23"/>
  <c r="B2" i="23"/>
  <c r="B2" i="22"/>
  <c r="L7" i="19"/>
  <c r="M7" i="19" s="1"/>
  <c r="L8" i="19"/>
  <c r="M8" i="19" s="1"/>
  <c r="L9" i="19"/>
  <c r="M9" i="19" s="1"/>
  <c r="L10" i="19"/>
  <c r="M10" i="19" s="1"/>
  <c r="L11" i="19"/>
  <c r="M11" i="19" s="1"/>
  <c r="L6" i="19"/>
  <c r="N7" i="19"/>
  <c r="P7" i="19" s="1"/>
  <c r="N8" i="19"/>
  <c r="P8" i="19" s="1"/>
  <c r="P9" i="19"/>
  <c r="N10" i="19"/>
  <c r="P10" i="19" s="1"/>
  <c r="N11" i="19"/>
  <c r="P11" i="19" s="1"/>
  <c r="P6" i="19"/>
  <c r="G5" i="19"/>
  <c r="B2" i="19"/>
  <c r="B2" i="18"/>
  <c r="N6" i="17"/>
  <c r="P6" i="17" s="1"/>
  <c r="P5" i="17" s="1"/>
  <c r="L6" i="17"/>
  <c r="B2" i="17"/>
  <c r="B2" i="16"/>
  <c r="L7" i="15"/>
  <c r="M7" i="15" s="1"/>
  <c r="L8" i="15"/>
  <c r="M8" i="15" s="1"/>
  <c r="L9" i="15"/>
  <c r="M9" i="15" s="1"/>
  <c r="L10" i="15"/>
  <c r="M10" i="15" s="1"/>
  <c r="L11" i="15"/>
  <c r="M11" i="15" s="1"/>
  <c r="L12" i="15"/>
  <c r="M12" i="15" s="1"/>
  <c r="L13" i="15"/>
  <c r="M13" i="15" s="1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M21" i="15" s="1"/>
  <c r="L22" i="15"/>
  <c r="M22" i="15" s="1"/>
  <c r="L23" i="15"/>
  <c r="L24" i="15"/>
  <c r="M24" i="15" s="1"/>
  <c r="L25" i="15"/>
  <c r="M25" i="15" s="1"/>
  <c r="L26" i="15"/>
  <c r="M26" i="15" s="1"/>
  <c r="L27" i="15"/>
  <c r="M27" i="15" s="1"/>
  <c r="L28" i="15"/>
  <c r="M28" i="15" s="1"/>
  <c r="L29" i="15"/>
  <c r="M29" i="15" s="1"/>
  <c r="L30" i="15"/>
  <c r="M30" i="15" s="1"/>
  <c r="L31" i="15"/>
  <c r="M31" i="15" s="1"/>
  <c r="L32" i="15"/>
  <c r="M32" i="15" s="1"/>
  <c r="L33" i="15"/>
  <c r="M33" i="15" s="1"/>
  <c r="L34" i="15"/>
  <c r="M34" i="15" s="1"/>
  <c r="L35" i="15"/>
  <c r="M35" i="15" s="1"/>
  <c r="L36" i="15"/>
  <c r="M36" i="15" s="1"/>
  <c r="L37" i="15"/>
  <c r="M37" i="15" s="1"/>
  <c r="L38" i="15"/>
  <c r="M38" i="15" s="1"/>
  <c r="L39" i="15"/>
  <c r="M39" i="15" s="1"/>
  <c r="L40" i="15"/>
  <c r="M40" i="15" s="1"/>
  <c r="L41" i="15"/>
  <c r="M41" i="15" s="1"/>
  <c r="L42" i="15"/>
  <c r="M42" i="15" s="1"/>
  <c r="L43" i="15"/>
  <c r="M43" i="15" s="1"/>
  <c r="L44" i="15"/>
  <c r="M44" i="15" s="1"/>
  <c r="L45" i="15"/>
  <c r="M45" i="15" s="1"/>
  <c r="L46" i="15"/>
  <c r="M46" i="15" s="1"/>
  <c r="L47" i="15"/>
  <c r="M47" i="15" s="1"/>
  <c r="L48" i="15"/>
  <c r="M48" i="15" s="1"/>
  <c r="L49" i="15"/>
  <c r="M49" i="15" s="1"/>
  <c r="L50" i="15"/>
  <c r="M50" i="15" s="1"/>
  <c r="L51" i="15"/>
  <c r="M51" i="15" s="1"/>
  <c r="L52" i="15"/>
  <c r="M52" i="15" s="1"/>
  <c r="L53" i="15"/>
  <c r="M53" i="15" s="1"/>
  <c r="L54" i="15"/>
  <c r="M54" i="15" s="1"/>
  <c r="L55" i="15"/>
  <c r="M55" i="15" s="1"/>
  <c r="L56" i="15"/>
  <c r="M56" i="15" s="1"/>
  <c r="L57" i="15"/>
  <c r="M57" i="15" s="1"/>
  <c r="L58" i="15"/>
  <c r="M58" i="15" s="1"/>
  <c r="L59" i="15"/>
  <c r="M59" i="15" s="1"/>
  <c r="L60" i="15"/>
  <c r="M60" i="15" s="1"/>
  <c r="L61" i="15"/>
  <c r="M61" i="15" s="1"/>
  <c r="L62" i="15"/>
  <c r="M62" i="15" s="1"/>
  <c r="L63" i="15"/>
  <c r="M63" i="15" s="1"/>
  <c r="L64" i="15"/>
  <c r="M64" i="15" s="1"/>
  <c r="L65" i="15"/>
  <c r="M65" i="15" s="1"/>
  <c r="L6" i="15"/>
  <c r="P8" i="15"/>
  <c r="R8" i="15" s="1"/>
  <c r="P12" i="15"/>
  <c r="R12" i="15" s="1"/>
  <c r="P16" i="15"/>
  <c r="P19" i="15"/>
  <c r="P23" i="15"/>
  <c r="P24" i="15"/>
  <c r="R24" i="15" s="1"/>
  <c r="P27" i="15"/>
  <c r="P28" i="15"/>
  <c r="R28" i="15" s="1"/>
  <c r="P31" i="15"/>
  <c r="R31" i="15" s="1"/>
  <c r="P35" i="15"/>
  <c r="R35" i="15" s="1"/>
  <c r="P36" i="15"/>
  <c r="P40" i="15"/>
  <c r="R40" i="15" s="1"/>
  <c r="P43" i="15"/>
  <c r="P44" i="15"/>
  <c r="R44" i="15" s="1"/>
  <c r="P47" i="15"/>
  <c r="P48" i="15"/>
  <c r="P51" i="15"/>
  <c r="P52" i="15"/>
  <c r="R52" i="15" s="1"/>
  <c r="P55" i="15"/>
  <c r="P56" i="15"/>
  <c r="R56" i="15" s="1"/>
  <c r="P59" i="15"/>
  <c r="P60" i="15"/>
  <c r="R60" i="15" s="1"/>
  <c r="P63" i="15"/>
  <c r="R63" i="15" s="1"/>
  <c r="P64" i="15"/>
  <c r="R64" i="15" s="1"/>
  <c r="P65" i="15"/>
  <c r="R65" i="15" s="1"/>
  <c r="P62" i="15"/>
  <c r="R62" i="15" s="1"/>
  <c r="P61" i="15"/>
  <c r="R61" i="15" s="1"/>
  <c r="P58" i="15"/>
  <c r="R58" i="15" s="1"/>
  <c r="P57" i="15"/>
  <c r="R57" i="15" s="1"/>
  <c r="P54" i="15"/>
  <c r="R54" i="15" s="1"/>
  <c r="P53" i="15"/>
  <c r="R53" i="15" s="1"/>
  <c r="P50" i="15"/>
  <c r="R50" i="15" s="1"/>
  <c r="P49" i="15"/>
  <c r="R49" i="15" s="1"/>
  <c r="P46" i="15"/>
  <c r="R46" i="15" s="1"/>
  <c r="P45" i="15"/>
  <c r="R45" i="15" s="1"/>
  <c r="P42" i="15"/>
  <c r="R42" i="15" s="1"/>
  <c r="P41" i="15"/>
  <c r="R41" i="15" s="1"/>
  <c r="P39" i="15"/>
  <c r="P38" i="15"/>
  <c r="R38" i="15" s="1"/>
  <c r="P37" i="15"/>
  <c r="R37" i="15" s="1"/>
  <c r="P34" i="15"/>
  <c r="P33" i="15"/>
  <c r="P32" i="15"/>
  <c r="R32" i="15" s="1"/>
  <c r="P30" i="15"/>
  <c r="R30" i="15" s="1"/>
  <c r="P29" i="15"/>
  <c r="P26" i="15"/>
  <c r="R26" i="15" s="1"/>
  <c r="P25" i="15"/>
  <c r="P22" i="15"/>
  <c r="P21" i="15"/>
  <c r="P20" i="15"/>
  <c r="P18" i="15"/>
  <c r="P17" i="15"/>
  <c r="P15" i="15"/>
  <c r="R15" i="15" s="1"/>
  <c r="P14" i="15"/>
  <c r="R14" i="15" s="1"/>
  <c r="P13" i="15"/>
  <c r="R13" i="15" s="1"/>
  <c r="P11" i="15"/>
  <c r="R11" i="15" s="1"/>
  <c r="P10" i="15"/>
  <c r="R10" i="15" s="1"/>
  <c r="P9" i="15"/>
  <c r="R9" i="15" s="1"/>
  <c r="P7" i="15"/>
  <c r="R7" i="15" s="1"/>
  <c r="P6" i="15"/>
  <c r="B2" i="15"/>
  <c r="B2" i="14"/>
  <c r="R6" i="17" l="1"/>
  <c r="R5" i="17" s="1"/>
  <c r="R6" i="15"/>
  <c r="P5" i="15"/>
  <c r="P11" i="23"/>
  <c r="P14" i="23"/>
  <c r="R14" i="23" s="1"/>
  <c r="P10" i="23"/>
  <c r="R10" i="23" s="1"/>
  <c r="P13" i="23"/>
  <c r="R13" i="23" s="1"/>
  <c r="P9" i="23"/>
  <c r="R9" i="23" s="1"/>
  <c r="R7" i="7"/>
  <c r="L5" i="23"/>
  <c r="R8" i="23"/>
  <c r="R11" i="23"/>
  <c r="R12" i="23"/>
  <c r="M6" i="23"/>
  <c r="M23" i="15"/>
  <c r="L5" i="19"/>
  <c r="P5" i="19"/>
  <c r="M6" i="19"/>
  <c r="R6" i="19"/>
  <c r="R7" i="19"/>
  <c r="R8" i="19"/>
  <c r="R9" i="19"/>
  <c r="R10" i="19"/>
  <c r="R11" i="19"/>
  <c r="L5" i="17"/>
  <c r="M6" i="17"/>
  <c r="C8" i="16" s="1"/>
  <c r="L5" i="15"/>
  <c r="R48" i="15"/>
  <c r="R51" i="15"/>
  <c r="R43" i="15"/>
  <c r="R23" i="15"/>
  <c r="R59" i="15"/>
  <c r="R47" i="15"/>
  <c r="R27" i="15"/>
  <c r="R39" i="15"/>
  <c r="R55" i="15"/>
  <c r="R25" i="15"/>
  <c r="R29" i="15"/>
  <c r="R33" i="15"/>
  <c r="R19" i="15"/>
  <c r="R21" i="15"/>
  <c r="R36" i="15"/>
  <c r="R17" i="15"/>
  <c r="R34" i="15"/>
  <c r="M6" i="15"/>
  <c r="R16" i="15"/>
  <c r="R18" i="15"/>
  <c r="R20" i="15"/>
  <c r="R22" i="15"/>
  <c r="N11" i="13"/>
  <c r="P11" i="13" s="1"/>
  <c r="R11" i="13" s="1"/>
  <c r="N10" i="13"/>
  <c r="P10" i="13" s="1"/>
  <c r="R10" i="13" s="1"/>
  <c r="N9" i="13"/>
  <c r="P9" i="13" s="1"/>
  <c r="R9" i="13" s="1"/>
  <c r="N8" i="13"/>
  <c r="P8" i="13" s="1"/>
  <c r="R8" i="13" s="1"/>
  <c r="N7" i="13"/>
  <c r="P7" i="13" s="1"/>
  <c r="R7" i="13" s="1"/>
  <c r="N6" i="13"/>
  <c r="P6" i="13" s="1"/>
  <c r="H5" i="13"/>
  <c r="B2" i="13"/>
  <c r="B2" i="12"/>
  <c r="R5" i="19" l="1"/>
  <c r="R5" i="15"/>
  <c r="P6" i="23"/>
  <c r="P5" i="23" s="1"/>
  <c r="C8" i="22"/>
  <c r="C10" i="22"/>
  <c r="C6" i="22"/>
  <c r="C9" i="22"/>
  <c r="C7" i="22"/>
  <c r="M5" i="19"/>
  <c r="C8" i="18"/>
  <c r="C7" i="18"/>
  <c r="C6" i="18"/>
  <c r="C9" i="18"/>
  <c r="C7" i="16"/>
  <c r="C9" i="16"/>
  <c r="C6" i="16"/>
  <c r="R6" i="13"/>
  <c r="P5" i="13"/>
  <c r="B2" i="11"/>
  <c r="B2" i="7"/>
  <c r="B2" i="6"/>
  <c r="B2" i="9"/>
  <c r="R6" i="23" l="1"/>
  <c r="R5" i="23" s="1"/>
  <c r="I5" i="7" l="1"/>
  <c r="J22" i="8" l="1"/>
  <c r="I22" i="8"/>
  <c r="H22" i="8"/>
  <c r="F22" i="8"/>
  <c r="D22" i="8"/>
  <c r="B22" i="8"/>
  <c r="J21" i="8"/>
  <c r="I21" i="8"/>
  <c r="H21" i="8"/>
  <c r="F21" i="8"/>
  <c r="D21" i="8"/>
  <c r="B21" i="8"/>
  <c r="G20" i="8"/>
  <c r="E20" i="8"/>
  <c r="C20" i="8"/>
  <c r="F20" i="8"/>
  <c r="D20" i="8"/>
  <c r="B20" i="8"/>
  <c r="G19" i="8"/>
  <c r="E19" i="8"/>
  <c r="C19" i="8"/>
  <c r="F19" i="8"/>
  <c r="D19" i="8"/>
  <c r="L36" i="11" s="1"/>
  <c r="M36" i="11" s="1"/>
  <c r="P36" i="11" s="1"/>
  <c r="R36" i="11" s="1"/>
  <c r="B19" i="8"/>
  <c r="G18" i="8"/>
  <c r="E18" i="8"/>
  <c r="C18" i="8"/>
  <c r="F18" i="8"/>
  <c r="D18" i="8"/>
  <c r="B18" i="8"/>
  <c r="G17" i="8"/>
  <c r="E17" i="8"/>
  <c r="C17" i="8"/>
  <c r="F17" i="8"/>
  <c r="D17" i="8"/>
  <c r="B17" i="8"/>
  <c r="G16" i="8"/>
  <c r="E16" i="8"/>
  <c r="C16" i="8"/>
  <c r="F16" i="8"/>
  <c r="D16" i="8"/>
  <c r="B16" i="8"/>
  <c r="G15" i="8"/>
  <c r="E15" i="8"/>
  <c r="C15" i="8"/>
  <c r="F15" i="8"/>
  <c r="D15" i="8"/>
  <c r="B15" i="8"/>
  <c r="G14" i="8"/>
  <c r="E14" i="8"/>
  <c r="C14" i="8"/>
  <c r="F14" i="8"/>
  <c r="D14" i="8"/>
  <c r="B14" i="8"/>
  <c r="G13" i="8"/>
  <c r="E13" i="8"/>
  <c r="C13" i="8"/>
  <c r="F13" i="8"/>
  <c r="D13" i="8"/>
  <c r="B13" i="8"/>
  <c r="G12" i="8"/>
  <c r="E12" i="8"/>
  <c r="C12" i="8"/>
  <c r="F12" i="8"/>
  <c r="D12" i="8"/>
  <c r="B12" i="8"/>
  <c r="G11" i="8"/>
  <c r="E11" i="8"/>
  <c r="C11" i="8"/>
  <c r="F11" i="8"/>
  <c r="D11" i="8"/>
  <c r="B11" i="8"/>
  <c r="G10" i="8"/>
  <c r="E10" i="8"/>
  <c r="C10" i="8"/>
  <c r="F10" i="8"/>
  <c r="D10" i="8"/>
  <c r="B10" i="8"/>
  <c r="L10" i="11" l="1"/>
  <c r="M10" i="11" s="1"/>
  <c r="P10" i="11" s="1"/>
  <c r="R10" i="11" s="1"/>
  <c r="L22" i="11"/>
  <c r="M22" i="11" s="1"/>
  <c r="P22" i="11" s="1"/>
  <c r="R22" i="11" s="1"/>
  <c r="L30" i="11"/>
  <c r="M30" i="11" s="1"/>
  <c r="P30" i="11" s="1"/>
  <c r="R30" i="11" s="1"/>
  <c r="L7" i="11"/>
  <c r="M7" i="11" s="1"/>
  <c r="P7" i="11" s="1"/>
  <c r="R7" i="11" s="1"/>
  <c r="L11" i="11"/>
  <c r="M11" i="11" s="1"/>
  <c r="P11" i="11" s="1"/>
  <c r="R11" i="11" s="1"/>
  <c r="L27" i="11"/>
  <c r="M27" i="11" s="1"/>
  <c r="P27" i="11" s="1"/>
  <c r="R27" i="11" s="1"/>
  <c r="L35" i="11"/>
  <c r="M35" i="11" s="1"/>
  <c r="P35" i="11" s="1"/>
  <c r="R35" i="11" s="1"/>
  <c r="L8" i="11"/>
  <c r="M8" i="11" s="1"/>
  <c r="P8" i="11" s="1"/>
  <c r="R8" i="11" s="1"/>
  <c r="L12" i="11"/>
  <c r="L16" i="11"/>
  <c r="M16" i="11" s="1"/>
  <c r="P16" i="11" s="1"/>
  <c r="R16" i="11" s="1"/>
  <c r="L20" i="11"/>
  <c r="M20" i="11" s="1"/>
  <c r="P20" i="11" s="1"/>
  <c r="R20" i="11" s="1"/>
  <c r="L24" i="11"/>
  <c r="M24" i="11" s="1"/>
  <c r="P24" i="11" s="1"/>
  <c r="R24" i="11" s="1"/>
  <c r="L28" i="11"/>
  <c r="M28" i="11" s="1"/>
  <c r="P28" i="11" s="1"/>
  <c r="R28" i="11" s="1"/>
  <c r="L32" i="11"/>
  <c r="M32" i="11" s="1"/>
  <c r="P32" i="11" s="1"/>
  <c r="R32" i="11" s="1"/>
  <c r="L6" i="11"/>
  <c r="L9" i="11"/>
  <c r="M9" i="11" s="1"/>
  <c r="P9" i="11" s="1"/>
  <c r="R9" i="11" s="1"/>
  <c r="L13" i="11"/>
  <c r="M13" i="11" s="1"/>
  <c r="P13" i="11" s="1"/>
  <c r="R13" i="11" s="1"/>
  <c r="L17" i="11"/>
  <c r="M17" i="11" s="1"/>
  <c r="P17" i="11" s="1"/>
  <c r="R17" i="11" s="1"/>
  <c r="L21" i="11"/>
  <c r="M21" i="11" s="1"/>
  <c r="P21" i="11" s="1"/>
  <c r="R21" i="11" s="1"/>
  <c r="L25" i="11"/>
  <c r="M25" i="11" s="1"/>
  <c r="P25" i="11" s="1"/>
  <c r="R25" i="11" s="1"/>
  <c r="L29" i="11"/>
  <c r="M29" i="11" s="1"/>
  <c r="P29" i="11" s="1"/>
  <c r="R29" i="11" s="1"/>
  <c r="L33" i="11"/>
  <c r="M33" i="11" s="1"/>
  <c r="P33" i="11" s="1"/>
  <c r="R33" i="11" s="1"/>
  <c r="L26" i="11"/>
  <c r="M26" i="11" s="1"/>
  <c r="P26" i="11" s="1"/>
  <c r="R26" i="11" s="1"/>
  <c r="L34" i="11"/>
  <c r="M34" i="11" s="1"/>
  <c r="P34" i="11" s="1"/>
  <c r="R34" i="11" s="1"/>
  <c r="L19" i="11"/>
  <c r="M19" i="11" s="1"/>
  <c r="P19" i="11" s="1"/>
  <c r="R19" i="11" s="1"/>
  <c r="L31" i="11"/>
  <c r="M31" i="11" s="1"/>
  <c r="P31" i="11" s="1"/>
  <c r="R31" i="11" s="1"/>
  <c r="L69" i="7"/>
  <c r="M69" i="7" s="1"/>
  <c r="P69" i="7" s="1"/>
  <c r="R69" i="7" s="1"/>
  <c r="L73" i="7"/>
  <c r="M73" i="7" s="1"/>
  <c r="P73" i="7" s="1"/>
  <c r="R73" i="7" s="1"/>
  <c r="L77" i="7"/>
  <c r="M77" i="7" s="1"/>
  <c r="P77" i="7" s="1"/>
  <c r="R77" i="7" s="1"/>
  <c r="L81" i="7"/>
  <c r="M81" i="7" s="1"/>
  <c r="P81" i="7" s="1"/>
  <c r="R81" i="7" s="1"/>
  <c r="L89" i="7"/>
  <c r="M89" i="7" s="1"/>
  <c r="P89" i="7" s="1"/>
  <c r="R89" i="7" s="1"/>
  <c r="L36" i="7"/>
  <c r="M36" i="7" s="1"/>
  <c r="P36" i="7" s="1"/>
  <c r="R36" i="7" s="1"/>
  <c r="L95" i="7"/>
  <c r="M95" i="7" s="1"/>
  <c r="P95" i="7" s="1"/>
  <c r="R95" i="7" s="1"/>
  <c r="L18" i="7"/>
  <c r="M18" i="7" s="1"/>
  <c r="P18" i="7" s="1"/>
  <c r="R18" i="7" s="1"/>
  <c r="L55" i="7"/>
  <c r="M55" i="7" s="1"/>
  <c r="P55" i="7" s="1"/>
  <c r="R55" i="7" s="1"/>
  <c r="L66" i="7"/>
  <c r="M66" i="7" s="1"/>
  <c r="P66" i="7" s="1"/>
  <c r="R66" i="7" s="1"/>
  <c r="L32" i="7"/>
  <c r="M32" i="7" s="1"/>
  <c r="P32" i="7" s="1"/>
  <c r="R32" i="7" s="1"/>
  <c r="L43" i="7"/>
  <c r="M43" i="7" s="1"/>
  <c r="P43" i="7" s="1"/>
  <c r="R43" i="7" s="1"/>
  <c r="L103" i="7"/>
  <c r="M103" i="7" s="1"/>
  <c r="P103" i="7" s="1"/>
  <c r="R103" i="7" s="1"/>
  <c r="L99" i="7"/>
  <c r="M99" i="7" s="1"/>
  <c r="P99" i="7" s="1"/>
  <c r="R99" i="7" s="1"/>
  <c r="L9" i="7"/>
  <c r="M9" i="7" s="1"/>
  <c r="P9" i="7" s="1"/>
  <c r="R9" i="7" s="1"/>
  <c r="L13" i="7"/>
  <c r="M13" i="7" s="1"/>
  <c r="P13" i="7" s="1"/>
  <c r="R13" i="7" s="1"/>
  <c r="L17" i="7"/>
  <c r="M17" i="7" s="1"/>
  <c r="P17" i="7" s="1"/>
  <c r="R17" i="7" s="1"/>
  <c r="L21" i="7"/>
  <c r="M21" i="7" s="1"/>
  <c r="P21" i="7" s="1"/>
  <c r="R21" i="7" s="1"/>
  <c r="L25" i="7"/>
  <c r="M25" i="7" s="1"/>
  <c r="P25" i="7" s="1"/>
  <c r="R25" i="7" s="1"/>
  <c r="L29" i="7"/>
  <c r="M29" i="7" s="1"/>
  <c r="P29" i="7" s="1"/>
  <c r="R29" i="7" s="1"/>
  <c r="L33" i="7"/>
  <c r="M33" i="7" s="1"/>
  <c r="P33" i="7" s="1"/>
  <c r="R33" i="7" s="1"/>
  <c r="L37" i="7"/>
  <c r="M37" i="7" s="1"/>
  <c r="P37" i="7" s="1"/>
  <c r="R37" i="7" s="1"/>
  <c r="L41" i="7"/>
  <c r="M41" i="7" s="1"/>
  <c r="P41" i="7" s="1"/>
  <c r="R41" i="7" s="1"/>
  <c r="L45" i="7"/>
  <c r="M45" i="7" s="1"/>
  <c r="P45" i="7" s="1"/>
  <c r="R45" i="7" s="1"/>
  <c r="L49" i="7"/>
  <c r="M49" i="7" s="1"/>
  <c r="P49" i="7" s="1"/>
  <c r="R49" i="7" s="1"/>
  <c r="L53" i="7"/>
  <c r="M53" i="7" s="1"/>
  <c r="P53" i="7" s="1"/>
  <c r="R53" i="7" s="1"/>
  <c r="L61" i="7"/>
  <c r="M61" i="7" s="1"/>
  <c r="P61" i="7" s="1"/>
  <c r="R61" i="7" s="1"/>
  <c r="L65" i="7"/>
  <c r="M65" i="7" s="1"/>
  <c r="P65" i="7" s="1"/>
  <c r="R65" i="7" s="1"/>
  <c r="L97" i="7"/>
  <c r="M97" i="7" s="1"/>
  <c r="P97" i="7" s="1"/>
  <c r="R97" i="7" s="1"/>
  <c r="L101" i="7"/>
  <c r="M101" i="7" s="1"/>
  <c r="P101" i="7" s="1"/>
  <c r="R101" i="7" s="1"/>
  <c r="L105" i="7"/>
  <c r="M105" i="7" s="1"/>
  <c r="P105" i="7" s="1"/>
  <c r="R105" i="7" s="1"/>
  <c r="L10" i="7"/>
  <c r="M10" i="7" s="1"/>
  <c r="P10" i="7" s="1"/>
  <c r="R10" i="7" s="1"/>
  <c r="L15" i="7"/>
  <c r="M15" i="7" s="1"/>
  <c r="P15" i="7" s="1"/>
  <c r="R15" i="7" s="1"/>
  <c r="L20" i="7"/>
  <c r="M20" i="7" s="1"/>
  <c r="P20" i="7" s="1"/>
  <c r="R20" i="7" s="1"/>
  <c r="L26" i="7"/>
  <c r="M26" i="7" s="1"/>
  <c r="P26" i="7" s="1"/>
  <c r="R26" i="7" s="1"/>
  <c r="L31" i="7"/>
  <c r="M31" i="7" s="1"/>
  <c r="P31" i="7" s="1"/>
  <c r="R31" i="7" s="1"/>
  <c r="L42" i="7"/>
  <c r="M42" i="7" s="1"/>
  <c r="P42" i="7" s="1"/>
  <c r="R42" i="7" s="1"/>
  <c r="L47" i="7"/>
  <c r="M47" i="7" s="1"/>
  <c r="P47" i="7" s="1"/>
  <c r="R47" i="7" s="1"/>
  <c r="L52" i="7"/>
  <c r="M52" i="7" s="1"/>
  <c r="P52" i="7" s="1"/>
  <c r="R52" i="7" s="1"/>
  <c r="L63" i="7"/>
  <c r="M63" i="7" s="1"/>
  <c r="P63" i="7" s="1"/>
  <c r="R63" i="7" s="1"/>
  <c r="L68" i="7"/>
  <c r="M68" i="7" s="1"/>
  <c r="P68" i="7" s="1"/>
  <c r="R68" i="7" s="1"/>
  <c r="L74" i="7"/>
  <c r="M74" i="7" s="1"/>
  <c r="P74" i="7" s="1"/>
  <c r="R74" i="7" s="1"/>
  <c r="L79" i="7"/>
  <c r="M79" i="7" s="1"/>
  <c r="P79" i="7" s="1"/>
  <c r="R79" i="7" s="1"/>
  <c r="L90" i="7"/>
  <c r="M90" i="7" s="1"/>
  <c r="P90" i="7" s="1"/>
  <c r="R90" i="7" s="1"/>
  <c r="L100" i="7"/>
  <c r="M100" i="7" s="1"/>
  <c r="P100" i="7" s="1"/>
  <c r="R100" i="7" s="1"/>
  <c r="L12" i="7"/>
  <c r="M12" i="7" s="1"/>
  <c r="P12" i="7" s="1"/>
  <c r="R12" i="7" s="1"/>
  <c r="L23" i="7"/>
  <c r="M23" i="7" s="1"/>
  <c r="P23" i="7" s="1"/>
  <c r="R23" i="7" s="1"/>
  <c r="L28" i="7"/>
  <c r="M28" i="7" s="1"/>
  <c r="P28" i="7" s="1"/>
  <c r="R28" i="7" s="1"/>
  <c r="L34" i="7"/>
  <c r="M34" i="7" s="1"/>
  <c r="P34" i="7" s="1"/>
  <c r="R34" i="7" s="1"/>
  <c r="L39" i="7"/>
  <c r="M39" i="7" s="1"/>
  <c r="P39" i="7" s="1"/>
  <c r="R39" i="7" s="1"/>
  <c r="L44" i="7"/>
  <c r="M44" i="7" s="1"/>
  <c r="P44" i="7" s="1"/>
  <c r="R44" i="7" s="1"/>
  <c r="L50" i="7"/>
  <c r="M50" i="7" s="1"/>
  <c r="P50" i="7" s="1"/>
  <c r="R50" i="7" s="1"/>
  <c r="L71" i="7"/>
  <c r="M71" i="7" s="1"/>
  <c r="P71" i="7" s="1"/>
  <c r="R71" i="7" s="1"/>
  <c r="L76" i="7"/>
  <c r="M76" i="7" s="1"/>
  <c r="P76" i="7" s="1"/>
  <c r="R76" i="7" s="1"/>
  <c r="L82" i="7"/>
  <c r="M82" i="7" s="1"/>
  <c r="P82" i="7" s="1"/>
  <c r="R82" i="7" s="1"/>
  <c r="L92" i="7"/>
  <c r="M92" i="7" s="1"/>
  <c r="P92" i="7" s="1"/>
  <c r="R92" i="7" s="1"/>
  <c r="L98" i="7"/>
  <c r="M98" i="7" s="1"/>
  <c r="P98" i="7" s="1"/>
  <c r="R98" i="7" s="1"/>
  <c r="L11" i="7"/>
  <c r="M11" i="7" s="1"/>
  <c r="P11" i="7" s="1"/>
  <c r="R11" i="7" s="1"/>
  <c r="L16" i="7"/>
  <c r="M16" i="7" s="1"/>
  <c r="P16" i="7" s="1"/>
  <c r="R16" i="7" s="1"/>
  <c r="L22" i="7"/>
  <c r="M22" i="7" s="1"/>
  <c r="P22" i="7" s="1"/>
  <c r="R22" i="7" s="1"/>
  <c r="L27" i="7"/>
  <c r="M27" i="7" s="1"/>
  <c r="P27" i="7" s="1"/>
  <c r="R27" i="7" s="1"/>
  <c r="L38" i="7"/>
  <c r="M38" i="7" s="1"/>
  <c r="P38" i="7" s="1"/>
  <c r="R38" i="7" s="1"/>
  <c r="L48" i="7"/>
  <c r="M48" i="7" s="1"/>
  <c r="P48" i="7" s="1"/>
  <c r="R48" i="7" s="1"/>
  <c r="L54" i="7"/>
  <c r="M54" i="7" s="1"/>
  <c r="P54" i="7" s="1"/>
  <c r="R54" i="7" s="1"/>
  <c r="L64" i="7"/>
  <c r="M64" i="7" s="1"/>
  <c r="P64" i="7" s="1"/>
  <c r="R64" i="7" s="1"/>
  <c r="L70" i="7"/>
  <c r="M70" i="7" s="1"/>
  <c r="P70" i="7" s="1"/>
  <c r="R70" i="7" s="1"/>
  <c r="L75" i="7"/>
  <c r="M75" i="7" s="1"/>
  <c r="P75" i="7" s="1"/>
  <c r="R75" i="7" s="1"/>
  <c r="L80" i="7"/>
  <c r="M80" i="7" s="1"/>
  <c r="P80" i="7" s="1"/>
  <c r="R80" i="7" s="1"/>
  <c r="L86" i="7"/>
  <c r="M86" i="7" s="1"/>
  <c r="P86" i="7" s="1"/>
  <c r="R86" i="7" s="1"/>
  <c r="L91" i="7"/>
  <c r="M91" i="7" s="1"/>
  <c r="P91" i="7" s="1"/>
  <c r="R91" i="7" s="1"/>
  <c r="L96" i="7"/>
  <c r="M96" i="7" s="1"/>
  <c r="P96" i="7" s="1"/>
  <c r="R96" i="7" s="1"/>
  <c r="L102" i="7"/>
  <c r="M102" i="7" s="1"/>
  <c r="P102" i="7" s="1"/>
  <c r="R102" i="7" s="1"/>
  <c r="L87" i="7"/>
  <c r="M87" i="7" s="1"/>
  <c r="P87" i="7" s="1"/>
  <c r="R87" i="7" s="1"/>
  <c r="L24" i="7"/>
  <c r="M24" i="7" s="1"/>
  <c r="P24" i="7" s="1"/>
  <c r="R24" i="7" s="1"/>
  <c r="L46" i="7"/>
  <c r="M46" i="7" s="1"/>
  <c r="P46" i="7" s="1"/>
  <c r="R46" i="7" s="1"/>
  <c r="L67" i="7"/>
  <c r="M67" i="7" s="1"/>
  <c r="P67" i="7" s="1"/>
  <c r="R67" i="7" s="1"/>
  <c r="L88" i="7"/>
  <c r="M88" i="7" s="1"/>
  <c r="P88" i="7" s="1"/>
  <c r="R88" i="7" s="1"/>
  <c r="L30" i="7"/>
  <c r="M30" i="7" s="1"/>
  <c r="P30" i="7" s="1"/>
  <c r="R30" i="7" s="1"/>
  <c r="L51" i="7"/>
  <c r="M51" i="7" s="1"/>
  <c r="P51" i="7" s="1"/>
  <c r="R51" i="7" s="1"/>
  <c r="L72" i="7"/>
  <c r="M72" i="7" s="1"/>
  <c r="P72" i="7" s="1"/>
  <c r="R72" i="7" s="1"/>
  <c r="L94" i="7"/>
  <c r="M94" i="7" s="1"/>
  <c r="P94" i="7" s="1"/>
  <c r="R94" i="7" s="1"/>
  <c r="L14" i="7"/>
  <c r="M14" i="7" s="1"/>
  <c r="P14" i="7" s="1"/>
  <c r="R14" i="7" s="1"/>
  <c r="L35" i="7"/>
  <c r="M35" i="7" s="1"/>
  <c r="P35" i="7" s="1"/>
  <c r="R35" i="7" s="1"/>
  <c r="L56" i="7"/>
  <c r="M56" i="7" s="1"/>
  <c r="P56" i="7" s="1"/>
  <c r="R56" i="7" s="1"/>
  <c r="L78" i="7"/>
  <c r="M78" i="7" s="1"/>
  <c r="P78" i="7" s="1"/>
  <c r="R78" i="7" s="1"/>
  <c r="L19" i="7"/>
  <c r="M19" i="7" s="1"/>
  <c r="P19" i="7" s="1"/>
  <c r="R19" i="7" s="1"/>
  <c r="L40" i="7"/>
  <c r="M40" i="7" s="1"/>
  <c r="P40" i="7" s="1"/>
  <c r="R40" i="7" s="1"/>
  <c r="L62" i="7"/>
  <c r="M62" i="7" s="1"/>
  <c r="P62" i="7" s="1"/>
  <c r="R62" i="7" s="1"/>
  <c r="L83" i="7"/>
  <c r="M83" i="7" s="1"/>
  <c r="P83" i="7" s="1"/>
  <c r="R83" i="7" s="1"/>
  <c r="L104" i="7"/>
  <c r="M104" i="7" s="1"/>
  <c r="P104" i="7" s="1"/>
  <c r="R104" i="7" s="1"/>
  <c r="L57" i="7"/>
  <c r="M57" i="7" s="1"/>
  <c r="P57" i="7" s="1"/>
  <c r="R57" i="7" s="1"/>
  <c r="L85" i="7"/>
  <c r="M85" i="7" s="1"/>
  <c r="P85" i="7" s="1"/>
  <c r="R85" i="7" s="1"/>
  <c r="L93" i="7"/>
  <c r="M93" i="7" s="1"/>
  <c r="P93" i="7" s="1"/>
  <c r="R93" i="7" s="1"/>
  <c r="L58" i="7"/>
  <c r="M58" i="7" s="1"/>
  <c r="P58" i="7" s="1"/>
  <c r="R58" i="7" s="1"/>
  <c r="L84" i="7"/>
  <c r="M84" i="7" s="1"/>
  <c r="P84" i="7" s="1"/>
  <c r="R84" i="7" s="1"/>
  <c r="L59" i="7"/>
  <c r="M59" i="7" s="1"/>
  <c r="P59" i="7" s="1"/>
  <c r="R59" i="7" s="1"/>
  <c r="L60" i="7"/>
  <c r="M60" i="7" s="1"/>
  <c r="P60" i="7" s="1"/>
  <c r="R60" i="7" s="1"/>
  <c r="L6" i="7"/>
  <c r="M6" i="7" s="1"/>
  <c r="P6" i="7" s="1"/>
  <c r="R6" i="7" s="1"/>
  <c r="L8" i="7"/>
  <c r="M14" i="11"/>
  <c r="P14" i="11" s="1"/>
  <c r="R14" i="11" s="1"/>
  <c r="M12" i="11"/>
  <c r="P12" i="11" s="1"/>
  <c r="R12" i="11" s="1"/>
  <c r="L11" i="13"/>
  <c r="M11" i="13" s="1"/>
  <c r="L7" i="13"/>
  <c r="M7" i="13" s="1"/>
  <c r="L10" i="13"/>
  <c r="M10" i="13" s="1"/>
  <c r="L9" i="13"/>
  <c r="M9" i="13" s="1"/>
  <c r="L6" i="13"/>
  <c r="L8" i="13"/>
  <c r="M8" i="13" s="1"/>
  <c r="M8" i="7" l="1"/>
  <c r="P8" i="7" s="1"/>
  <c r="R8" i="7" s="1"/>
  <c r="C11" i="6"/>
  <c r="M6" i="11"/>
  <c r="P6" i="11" s="1"/>
  <c r="P5" i="11" s="1"/>
  <c r="L5" i="11"/>
  <c r="M6" i="13"/>
  <c r="C9" i="12" s="1"/>
  <c r="L5" i="13"/>
  <c r="R5" i="13" s="1"/>
  <c r="H5" i="7"/>
  <c r="C2" i="5"/>
  <c r="K68" i="5"/>
  <c r="K67" i="5"/>
  <c r="K66" i="5"/>
  <c r="K65" i="5"/>
  <c r="K60" i="5"/>
  <c r="F57" i="5"/>
  <c r="K56" i="5"/>
  <c r="H56" i="5"/>
  <c r="K55" i="5"/>
  <c r="H55" i="5"/>
  <c r="K54" i="5"/>
  <c r="H54" i="5"/>
  <c r="K53" i="5"/>
  <c r="H53" i="5"/>
  <c r="K52" i="5"/>
  <c r="H52" i="5"/>
  <c r="K51" i="5"/>
  <c r="H51" i="5"/>
  <c r="K50" i="5"/>
  <c r="H50" i="5"/>
  <c r="K48" i="5"/>
  <c r="H48" i="5"/>
  <c r="K47" i="5"/>
  <c r="H47" i="5"/>
  <c r="K46" i="5"/>
  <c r="H46" i="5"/>
  <c r="K41" i="5"/>
  <c r="H41" i="5"/>
  <c r="K40" i="5"/>
  <c r="H40" i="5"/>
  <c r="K39" i="5"/>
  <c r="H39" i="5"/>
  <c r="K38" i="5"/>
  <c r="H38" i="5"/>
  <c r="K33" i="5"/>
  <c r="H33" i="5"/>
  <c r="K32" i="5"/>
  <c r="H32" i="5"/>
  <c r="K28" i="5"/>
  <c r="H28" i="5"/>
  <c r="K27" i="5"/>
  <c r="H27" i="5"/>
  <c r="K25" i="5"/>
  <c r="K21" i="5"/>
  <c r="K19" i="5"/>
  <c r="F14" i="5"/>
  <c r="D26" i="5" s="1"/>
  <c r="K13" i="5"/>
  <c r="H13" i="5"/>
  <c r="K12" i="5"/>
  <c r="H12" i="5"/>
  <c r="K11" i="5"/>
  <c r="H11" i="5"/>
  <c r="K10" i="5"/>
  <c r="H10" i="5"/>
  <c r="K9" i="5"/>
  <c r="H9" i="5"/>
  <c r="K5" i="5"/>
  <c r="C2" i="4"/>
  <c r="Q9" i="4"/>
  <c r="P9" i="4"/>
  <c r="K68" i="4"/>
  <c r="K67" i="4"/>
  <c r="K66" i="4"/>
  <c r="K65" i="4"/>
  <c r="K60" i="4"/>
  <c r="F57" i="4"/>
  <c r="K56" i="4"/>
  <c r="H56" i="4"/>
  <c r="K55" i="4"/>
  <c r="H55" i="4"/>
  <c r="K54" i="4"/>
  <c r="H54" i="4"/>
  <c r="K53" i="4"/>
  <c r="H53" i="4"/>
  <c r="K52" i="4"/>
  <c r="H52" i="4"/>
  <c r="K51" i="4"/>
  <c r="H51" i="4"/>
  <c r="K50" i="4"/>
  <c r="H50" i="4"/>
  <c r="K48" i="4"/>
  <c r="H48" i="4"/>
  <c r="K47" i="4"/>
  <c r="H47" i="4"/>
  <c r="K46" i="4"/>
  <c r="H46" i="4"/>
  <c r="F42" i="4"/>
  <c r="K41" i="4"/>
  <c r="H41" i="4"/>
  <c r="K40" i="4"/>
  <c r="H40" i="4"/>
  <c r="K39" i="4"/>
  <c r="H39" i="4"/>
  <c r="K38" i="4"/>
  <c r="H38" i="4"/>
  <c r="K33" i="4"/>
  <c r="H33" i="4"/>
  <c r="K32" i="4"/>
  <c r="H32" i="4"/>
  <c r="K28" i="4"/>
  <c r="H28" i="4"/>
  <c r="K27" i="4"/>
  <c r="H27" i="4"/>
  <c r="K25" i="4"/>
  <c r="K21" i="4"/>
  <c r="K17" i="4"/>
  <c r="F14" i="4"/>
  <c r="D18" i="4" s="1"/>
  <c r="F18" i="4" s="1"/>
  <c r="K13" i="4"/>
  <c r="H13" i="4"/>
  <c r="K12" i="4"/>
  <c r="H12" i="4"/>
  <c r="K11" i="4"/>
  <c r="H11" i="4"/>
  <c r="K10" i="4"/>
  <c r="H10" i="4"/>
  <c r="O9" i="4"/>
  <c r="N9" i="4"/>
  <c r="M9" i="4"/>
  <c r="K9" i="4"/>
  <c r="H9" i="4"/>
  <c r="K5" i="4"/>
  <c r="H14" i="4" l="1"/>
  <c r="K14" i="4" s="1"/>
  <c r="H14" i="5"/>
  <c r="K14" i="5" s="1"/>
  <c r="D20" i="5"/>
  <c r="F20" i="5" s="1"/>
  <c r="H20" i="5" s="1"/>
  <c r="D22" i="5"/>
  <c r="F22" i="5" s="1"/>
  <c r="H22" i="5" s="1"/>
  <c r="D24" i="5"/>
  <c r="F24" i="5" s="1"/>
  <c r="H24" i="5" s="1"/>
  <c r="R6" i="11"/>
  <c r="R5" i="11" s="1"/>
  <c r="C10" i="9"/>
  <c r="C8" i="9"/>
  <c r="C7" i="9"/>
  <c r="C9" i="9"/>
  <c r="D20" i="4"/>
  <c r="F20" i="4" s="1"/>
  <c r="D22" i="4"/>
  <c r="F22" i="4" s="1"/>
  <c r="H22" i="4" s="1"/>
  <c r="D24" i="4"/>
  <c r="F24" i="4" s="1"/>
  <c r="H24" i="4" s="1"/>
  <c r="D26" i="4"/>
  <c r="H42" i="4"/>
  <c r="K42" i="4" s="1"/>
  <c r="H57" i="4"/>
  <c r="K57" i="4" s="1"/>
  <c r="C6" i="9"/>
  <c r="M5" i="13"/>
  <c r="C7" i="12"/>
  <c r="C8" i="12"/>
  <c r="C6" i="12"/>
  <c r="K23" i="4"/>
  <c r="H18" i="4"/>
  <c r="L5" i="7"/>
  <c r="P5" i="7"/>
  <c r="H57" i="5"/>
  <c r="H42" i="5"/>
  <c r="K42" i="5" s="1"/>
  <c r="F26" i="5"/>
  <c r="H26" i="5" s="1"/>
  <c r="K23" i="5"/>
  <c r="K17" i="5"/>
  <c r="D18" i="5"/>
  <c r="K19" i="4"/>
  <c r="K61" i="4"/>
  <c r="K61" i="5"/>
  <c r="H61" i="5"/>
  <c r="O39" i="17" l="1"/>
  <c r="Q39" i="17" s="1"/>
  <c r="S39" i="17" s="1"/>
  <c r="K57" i="5"/>
  <c r="O7" i="17"/>
  <c r="Q7" i="17" s="1"/>
  <c r="S7" i="17" s="1"/>
  <c r="O8" i="17"/>
  <c r="Q8" i="17" s="1"/>
  <c r="S8" i="17" s="1"/>
  <c r="O9" i="17"/>
  <c r="Q9" i="17" s="1"/>
  <c r="S9" i="17" s="1"/>
  <c r="O10" i="17"/>
  <c r="Q10" i="17" s="1"/>
  <c r="S10" i="17" s="1"/>
  <c r="O11" i="17"/>
  <c r="Q11" i="17" s="1"/>
  <c r="S11" i="17" s="1"/>
  <c r="O12" i="17"/>
  <c r="Q12" i="17" s="1"/>
  <c r="S12" i="17" s="1"/>
  <c r="O13" i="17"/>
  <c r="Q13" i="17" s="1"/>
  <c r="S13" i="17" s="1"/>
  <c r="O14" i="17"/>
  <c r="Q14" i="17" s="1"/>
  <c r="O15" i="17"/>
  <c r="Q15" i="17" s="1"/>
  <c r="S15" i="17" s="1"/>
  <c r="O16" i="17"/>
  <c r="Q16" i="17" s="1"/>
  <c r="S16" i="17" s="1"/>
  <c r="O17" i="17"/>
  <c r="Q17" i="17" s="1"/>
  <c r="S17" i="17" s="1"/>
  <c r="O18" i="17"/>
  <c r="Q18" i="17" s="1"/>
  <c r="S18" i="17" s="1"/>
  <c r="O19" i="17"/>
  <c r="Q19" i="17" s="1"/>
  <c r="S19" i="17" s="1"/>
  <c r="O20" i="17"/>
  <c r="Q20" i="17" s="1"/>
  <c r="S20" i="17" s="1"/>
  <c r="O21" i="17"/>
  <c r="Q21" i="17" s="1"/>
  <c r="S21" i="17" s="1"/>
  <c r="O22" i="17"/>
  <c r="Q22" i="17" s="1"/>
  <c r="S22" i="17" s="1"/>
  <c r="O23" i="17"/>
  <c r="Q23" i="17" s="1"/>
  <c r="S23" i="17" s="1"/>
  <c r="O24" i="17"/>
  <c r="Q24" i="17" s="1"/>
  <c r="S24" i="17" s="1"/>
  <c r="O25" i="17"/>
  <c r="Q25" i="17" s="1"/>
  <c r="S25" i="17" s="1"/>
  <c r="O26" i="17"/>
  <c r="Q26" i="17" s="1"/>
  <c r="S26" i="17" s="1"/>
  <c r="O27" i="17"/>
  <c r="Q27" i="17" s="1"/>
  <c r="S27" i="17" s="1"/>
  <c r="O28" i="17"/>
  <c r="Q28" i="17" s="1"/>
  <c r="S28" i="17" s="1"/>
  <c r="O29" i="17"/>
  <c r="Q29" i="17" s="1"/>
  <c r="S29" i="17" s="1"/>
  <c r="O30" i="17"/>
  <c r="Q30" i="17" s="1"/>
  <c r="S30" i="17" s="1"/>
  <c r="O31" i="17"/>
  <c r="Q31" i="17" s="1"/>
  <c r="S31" i="17" s="1"/>
  <c r="O32" i="17"/>
  <c r="Q32" i="17" s="1"/>
  <c r="S32" i="17" s="1"/>
  <c r="O33" i="17"/>
  <c r="Q33" i="17" s="1"/>
  <c r="S33" i="17" s="1"/>
  <c r="O34" i="17"/>
  <c r="Q34" i="17" s="1"/>
  <c r="S34" i="17" s="1"/>
  <c r="O35" i="17"/>
  <c r="Q35" i="17" s="1"/>
  <c r="S35" i="17" s="1"/>
  <c r="O36" i="17"/>
  <c r="Q36" i="17" s="1"/>
  <c r="S36" i="17" s="1"/>
  <c r="O37" i="17"/>
  <c r="Q37" i="17" s="1"/>
  <c r="S37" i="17" s="1"/>
  <c r="O38" i="17"/>
  <c r="Q38" i="17" s="1"/>
  <c r="S38" i="17" s="1"/>
  <c r="O66" i="15"/>
  <c r="Q66" i="15" s="1"/>
  <c r="S66" i="15" s="1"/>
  <c r="O67" i="15"/>
  <c r="Q67" i="15" s="1"/>
  <c r="S67" i="15" s="1"/>
  <c r="O68" i="15"/>
  <c r="Q68" i="15" s="1"/>
  <c r="S68" i="15" s="1"/>
  <c r="O69" i="15"/>
  <c r="Q69" i="15" s="1"/>
  <c r="S69" i="15" s="1"/>
  <c r="O70" i="15"/>
  <c r="Q70" i="15" s="1"/>
  <c r="S70" i="15" s="1"/>
  <c r="O71" i="15"/>
  <c r="Q71" i="15" s="1"/>
  <c r="S71" i="15" s="1"/>
  <c r="O72" i="15"/>
  <c r="Q72" i="15" s="1"/>
  <c r="S72" i="15" s="1"/>
  <c r="O73" i="15"/>
  <c r="Q73" i="15" s="1"/>
  <c r="S73" i="15" s="1"/>
  <c r="O74" i="15"/>
  <c r="Q74" i="15" s="1"/>
  <c r="S74" i="15" s="1"/>
  <c r="O75" i="15"/>
  <c r="Q75" i="15" s="1"/>
  <c r="S75" i="15" s="1"/>
  <c r="O76" i="15"/>
  <c r="Q76" i="15" s="1"/>
  <c r="S76" i="15" s="1"/>
  <c r="O77" i="15"/>
  <c r="Q77" i="15" s="1"/>
  <c r="S77" i="15" s="1"/>
  <c r="O78" i="15"/>
  <c r="Q78" i="15" s="1"/>
  <c r="S78" i="15" s="1"/>
  <c r="O79" i="15"/>
  <c r="Q79" i="15" s="1"/>
  <c r="S79" i="15" s="1"/>
  <c r="O80" i="15"/>
  <c r="Q80" i="15" s="1"/>
  <c r="S80" i="15" s="1"/>
  <c r="O81" i="15"/>
  <c r="Q81" i="15" s="1"/>
  <c r="S81" i="15" s="1"/>
  <c r="O82" i="15"/>
  <c r="Q82" i="15" s="1"/>
  <c r="S82" i="15" s="1"/>
  <c r="O83" i="15"/>
  <c r="Q83" i="15" s="1"/>
  <c r="S83" i="15" s="1"/>
  <c r="O84" i="15"/>
  <c r="Q84" i="15" s="1"/>
  <c r="S84" i="15" s="1"/>
  <c r="O85" i="15"/>
  <c r="Q85" i="15" s="1"/>
  <c r="S85" i="15" s="1"/>
  <c r="O86" i="15"/>
  <c r="Q86" i="15" s="1"/>
  <c r="S86" i="15" s="1"/>
  <c r="O87" i="15"/>
  <c r="Q87" i="15" s="1"/>
  <c r="S87" i="15" s="1"/>
  <c r="O88" i="15"/>
  <c r="Q88" i="15" s="1"/>
  <c r="S88" i="15" s="1"/>
  <c r="O89" i="15"/>
  <c r="Q89" i="15" s="1"/>
  <c r="S89" i="15" s="1"/>
  <c r="O90" i="15"/>
  <c r="Q90" i="15" s="1"/>
  <c r="S90" i="15" s="1"/>
  <c r="O91" i="15"/>
  <c r="Q91" i="15" s="1"/>
  <c r="S91" i="15" s="1"/>
  <c r="O92" i="15"/>
  <c r="Q92" i="15" s="1"/>
  <c r="S92" i="15" s="1"/>
  <c r="O93" i="15"/>
  <c r="Q93" i="15" s="1"/>
  <c r="S93" i="15" s="1"/>
  <c r="O94" i="15"/>
  <c r="Q94" i="15" s="1"/>
  <c r="S94" i="15" s="1"/>
  <c r="O95" i="15"/>
  <c r="Q95" i="15" s="1"/>
  <c r="S95" i="15" s="1"/>
  <c r="O96" i="15"/>
  <c r="Q96" i="15" s="1"/>
  <c r="S96" i="15" s="1"/>
  <c r="O97" i="15"/>
  <c r="Q97" i="15" s="1"/>
  <c r="S97" i="15" s="1"/>
  <c r="O98" i="15"/>
  <c r="Q98" i="15" s="1"/>
  <c r="S98" i="15" s="1"/>
  <c r="O99" i="15"/>
  <c r="Q99" i="15" s="1"/>
  <c r="S99" i="15" s="1"/>
  <c r="O100" i="15"/>
  <c r="Q100" i="15" s="1"/>
  <c r="S100" i="15" s="1"/>
  <c r="O101" i="15"/>
  <c r="Q101" i="15" s="1"/>
  <c r="S101" i="15" s="1"/>
  <c r="O102" i="15"/>
  <c r="Q102" i="15" s="1"/>
  <c r="S102" i="15" s="1"/>
  <c r="O103" i="15"/>
  <c r="Q103" i="15" s="1"/>
  <c r="S103" i="15" s="1"/>
  <c r="O104" i="15"/>
  <c r="Q104" i="15" s="1"/>
  <c r="S104" i="15" s="1"/>
  <c r="O105" i="15"/>
  <c r="Q105" i="15" s="1"/>
  <c r="S105" i="15" s="1"/>
  <c r="F26" i="4"/>
  <c r="H26" i="4"/>
  <c r="O7" i="19"/>
  <c r="Q7" i="19" s="1"/>
  <c r="S7" i="19" s="1"/>
  <c r="O11" i="19"/>
  <c r="Q11" i="19" s="1"/>
  <c r="S11" i="19" s="1"/>
  <c r="O10" i="19"/>
  <c r="Q10" i="19" s="1"/>
  <c r="S10" i="19" s="1"/>
  <c r="O8" i="19"/>
  <c r="Q8" i="19" s="1"/>
  <c r="S8" i="19" s="1"/>
  <c r="O9" i="19"/>
  <c r="Q9" i="19" s="1"/>
  <c r="S9" i="19" s="1"/>
  <c r="O6" i="19"/>
  <c r="Q6" i="19" s="1"/>
  <c r="O6" i="17"/>
  <c r="Q6" i="17" s="1"/>
  <c r="O8" i="15"/>
  <c r="Q8" i="15" s="1"/>
  <c r="S8" i="15" s="1"/>
  <c r="O12" i="15"/>
  <c r="Q12" i="15" s="1"/>
  <c r="S12" i="15" s="1"/>
  <c r="O16" i="15"/>
  <c r="Q16" i="15" s="1"/>
  <c r="S16" i="15" s="1"/>
  <c r="O20" i="15"/>
  <c r="Q20" i="15" s="1"/>
  <c r="S20" i="15" s="1"/>
  <c r="O24" i="15"/>
  <c r="Q24" i="15" s="1"/>
  <c r="S24" i="15" s="1"/>
  <c r="O28" i="15"/>
  <c r="Q28" i="15" s="1"/>
  <c r="S28" i="15" s="1"/>
  <c r="O32" i="15"/>
  <c r="Q32" i="15" s="1"/>
  <c r="S32" i="15" s="1"/>
  <c r="O36" i="15"/>
  <c r="Q36" i="15" s="1"/>
  <c r="S36" i="15" s="1"/>
  <c r="O40" i="15"/>
  <c r="Q40" i="15" s="1"/>
  <c r="S40" i="15" s="1"/>
  <c r="O44" i="15"/>
  <c r="Q44" i="15" s="1"/>
  <c r="S44" i="15" s="1"/>
  <c r="O48" i="15"/>
  <c r="Q48" i="15" s="1"/>
  <c r="S48" i="15" s="1"/>
  <c r="O52" i="15"/>
  <c r="Q52" i="15" s="1"/>
  <c r="S52" i="15" s="1"/>
  <c r="O56" i="15"/>
  <c r="Q56" i="15" s="1"/>
  <c r="S56" i="15" s="1"/>
  <c r="O60" i="15"/>
  <c r="Q60" i="15" s="1"/>
  <c r="S60" i="15" s="1"/>
  <c r="O64" i="15"/>
  <c r="Q64" i="15" s="1"/>
  <c r="S64" i="15" s="1"/>
  <c r="O38" i="15"/>
  <c r="Q38" i="15" s="1"/>
  <c r="S38" i="15" s="1"/>
  <c r="O9" i="15"/>
  <c r="Q9" i="15" s="1"/>
  <c r="S9" i="15" s="1"/>
  <c r="O13" i="15"/>
  <c r="Q13" i="15" s="1"/>
  <c r="S13" i="15" s="1"/>
  <c r="O17" i="15"/>
  <c r="Q17" i="15" s="1"/>
  <c r="S17" i="15" s="1"/>
  <c r="O21" i="15"/>
  <c r="Q21" i="15" s="1"/>
  <c r="S21" i="15" s="1"/>
  <c r="O25" i="15"/>
  <c r="Q25" i="15" s="1"/>
  <c r="S25" i="15" s="1"/>
  <c r="O29" i="15"/>
  <c r="Q29" i="15" s="1"/>
  <c r="S29" i="15" s="1"/>
  <c r="O33" i="15"/>
  <c r="Q33" i="15" s="1"/>
  <c r="S33" i="15" s="1"/>
  <c r="O37" i="15"/>
  <c r="Q37" i="15" s="1"/>
  <c r="S37" i="15" s="1"/>
  <c r="O41" i="15"/>
  <c r="Q41" i="15" s="1"/>
  <c r="S41" i="15" s="1"/>
  <c r="O45" i="15"/>
  <c r="Q45" i="15" s="1"/>
  <c r="S45" i="15" s="1"/>
  <c r="O49" i="15"/>
  <c r="Q49" i="15" s="1"/>
  <c r="S49" i="15" s="1"/>
  <c r="O53" i="15"/>
  <c r="Q53" i="15" s="1"/>
  <c r="S53" i="15" s="1"/>
  <c r="O57" i="15"/>
  <c r="Q57" i="15" s="1"/>
  <c r="O61" i="15"/>
  <c r="Q61" i="15" s="1"/>
  <c r="S61" i="15" s="1"/>
  <c r="O65" i="15"/>
  <c r="Q65" i="15" s="1"/>
  <c r="S65" i="15" s="1"/>
  <c r="O10" i="15"/>
  <c r="Q10" i="15" s="1"/>
  <c r="S10" i="15" s="1"/>
  <c r="O14" i="15"/>
  <c r="Q14" i="15" s="1"/>
  <c r="S14" i="15" s="1"/>
  <c r="O18" i="15"/>
  <c r="Q18" i="15" s="1"/>
  <c r="S18" i="15" s="1"/>
  <c r="O22" i="15"/>
  <c r="Q22" i="15" s="1"/>
  <c r="S22" i="15" s="1"/>
  <c r="O26" i="15"/>
  <c r="Q26" i="15" s="1"/>
  <c r="S26" i="15" s="1"/>
  <c r="O30" i="15"/>
  <c r="Q30" i="15" s="1"/>
  <c r="S30" i="15" s="1"/>
  <c r="O34" i="15"/>
  <c r="Q34" i="15" s="1"/>
  <c r="S34" i="15" s="1"/>
  <c r="O42" i="15"/>
  <c r="Q42" i="15" s="1"/>
  <c r="S42" i="15" s="1"/>
  <c r="O46" i="15"/>
  <c r="Q46" i="15" s="1"/>
  <c r="S46" i="15" s="1"/>
  <c r="O50" i="15"/>
  <c r="Q50" i="15" s="1"/>
  <c r="S50" i="15" s="1"/>
  <c r="O54" i="15"/>
  <c r="Q54" i="15" s="1"/>
  <c r="S54" i="15" s="1"/>
  <c r="O58" i="15"/>
  <c r="Q58" i="15" s="1"/>
  <c r="S58" i="15" s="1"/>
  <c r="O62" i="15"/>
  <c r="Q62" i="15" s="1"/>
  <c r="S62" i="15" s="1"/>
  <c r="O11" i="15"/>
  <c r="Q11" i="15" s="1"/>
  <c r="S11" i="15" s="1"/>
  <c r="O15" i="15"/>
  <c r="Q15" i="15" s="1"/>
  <c r="S15" i="15" s="1"/>
  <c r="O19" i="15"/>
  <c r="Q19" i="15" s="1"/>
  <c r="S19" i="15" s="1"/>
  <c r="O23" i="15"/>
  <c r="Q23" i="15" s="1"/>
  <c r="S23" i="15" s="1"/>
  <c r="O27" i="15"/>
  <c r="Q27" i="15" s="1"/>
  <c r="S27" i="15" s="1"/>
  <c r="O31" i="15"/>
  <c r="Q31" i="15" s="1"/>
  <c r="S31" i="15" s="1"/>
  <c r="O35" i="15"/>
  <c r="Q35" i="15" s="1"/>
  <c r="S35" i="15" s="1"/>
  <c r="O39" i="15"/>
  <c r="Q39" i="15" s="1"/>
  <c r="S39" i="15" s="1"/>
  <c r="O43" i="15"/>
  <c r="Q43" i="15" s="1"/>
  <c r="S43" i="15" s="1"/>
  <c r="O47" i="15"/>
  <c r="Q47" i="15" s="1"/>
  <c r="S47" i="15" s="1"/>
  <c r="O51" i="15"/>
  <c r="Q51" i="15" s="1"/>
  <c r="S51" i="15" s="1"/>
  <c r="O55" i="15"/>
  <c r="Q55" i="15" s="1"/>
  <c r="S55" i="15" s="1"/>
  <c r="O59" i="15"/>
  <c r="Q59" i="15" s="1"/>
  <c r="S59" i="15" s="1"/>
  <c r="O63" i="15"/>
  <c r="Q63" i="15" s="1"/>
  <c r="S63" i="15" s="1"/>
  <c r="O7" i="15"/>
  <c r="Q7" i="15" s="1"/>
  <c r="S7" i="15" s="1"/>
  <c r="O6" i="15"/>
  <c r="Q6" i="15" s="1"/>
  <c r="S6" i="15" s="1"/>
  <c r="F29" i="4"/>
  <c r="F34" i="4" s="1"/>
  <c r="F59" i="4" s="1"/>
  <c r="C12" i="6"/>
  <c r="C14" i="6"/>
  <c r="C9" i="6"/>
  <c r="C10" i="6"/>
  <c r="C6" i="6"/>
  <c r="C7" i="6"/>
  <c r="C8" i="6"/>
  <c r="C13" i="6"/>
  <c r="M5" i="7"/>
  <c r="R5" i="7"/>
  <c r="F61" i="5"/>
  <c r="F62" i="5" s="1"/>
  <c r="A1" i="5"/>
  <c r="F18" i="5"/>
  <c r="F29" i="5" s="1"/>
  <c r="F34" i="5" s="1"/>
  <c r="F59" i="5" s="1"/>
  <c r="H20" i="4"/>
  <c r="H29" i="4" l="1"/>
  <c r="H34" i="4" s="1"/>
  <c r="S6" i="17"/>
  <c r="Q5" i="17"/>
  <c r="D7" i="2" s="1"/>
  <c r="Q5" i="19"/>
  <c r="D8" i="2" s="1"/>
  <c r="S6" i="19"/>
  <c r="S5" i="19" s="1"/>
  <c r="S14" i="17"/>
  <c r="S57" i="15"/>
  <c r="S5" i="15" s="1"/>
  <c r="Q5" i="15"/>
  <c r="D6" i="2" s="1"/>
  <c r="H18" i="5"/>
  <c r="H29" i="5" s="1"/>
  <c r="K29" i="5" l="1"/>
  <c r="H34" i="5"/>
  <c r="K29" i="4"/>
  <c r="S5" i="17"/>
  <c r="K34" i="4"/>
  <c r="H59" i="4"/>
  <c r="K34" i="5" l="1"/>
  <c r="H59" i="5"/>
  <c r="H60" i="5" s="1"/>
  <c r="H60" i="4"/>
  <c r="H61" i="4"/>
  <c r="O39" i="11" l="1"/>
  <c r="O39" i="23"/>
  <c r="Q39" i="23" s="1"/>
  <c r="S39" i="23" s="1"/>
  <c r="O9" i="23"/>
  <c r="Q9" i="23" s="1"/>
  <c r="S9" i="23" s="1"/>
  <c r="O13" i="23"/>
  <c r="Q13" i="23" s="1"/>
  <c r="S13" i="23" s="1"/>
  <c r="O17" i="23"/>
  <c r="Q17" i="23" s="1"/>
  <c r="S17" i="23" s="1"/>
  <c r="O21" i="23"/>
  <c r="Q21" i="23" s="1"/>
  <c r="S21" i="23" s="1"/>
  <c r="O25" i="23"/>
  <c r="Q25" i="23" s="1"/>
  <c r="S25" i="23" s="1"/>
  <c r="O29" i="23"/>
  <c r="Q29" i="23" s="1"/>
  <c r="S29" i="23" s="1"/>
  <c r="O33" i="23"/>
  <c r="Q33" i="23" s="1"/>
  <c r="S33" i="23" s="1"/>
  <c r="O37" i="23"/>
  <c r="Q37" i="23" s="1"/>
  <c r="S37" i="23" s="1"/>
  <c r="O11" i="23"/>
  <c r="Q11" i="23" s="1"/>
  <c r="S11" i="23" s="1"/>
  <c r="O15" i="23"/>
  <c r="Q15" i="23" s="1"/>
  <c r="S15" i="23" s="1"/>
  <c r="O19" i="23"/>
  <c r="Q19" i="23" s="1"/>
  <c r="S19" i="23" s="1"/>
  <c r="O23" i="23"/>
  <c r="Q23" i="23" s="1"/>
  <c r="S23" i="23" s="1"/>
  <c r="O31" i="23"/>
  <c r="Q31" i="23" s="1"/>
  <c r="S31" i="23" s="1"/>
  <c r="O35" i="23"/>
  <c r="Q35" i="23" s="1"/>
  <c r="S35" i="23" s="1"/>
  <c r="O12" i="23"/>
  <c r="Q12" i="23" s="1"/>
  <c r="S12" i="23" s="1"/>
  <c r="O10" i="23"/>
  <c r="Q10" i="23" s="1"/>
  <c r="S10" i="23" s="1"/>
  <c r="O14" i="23"/>
  <c r="Q14" i="23" s="1"/>
  <c r="S14" i="23" s="1"/>
  <c r="O18" i="23"/>
  <c r="Q18" i="23" s="1"/>
  <c r="S18" i="23" s="1"/>
  <c r="O22" i="23"/>
  <c r="Q22" i="23" s="1"/>
  <c r="S22" i="23" s="1"/>
  <c r="O26" i="23"/>
  <c r="Q26" i="23" s="1"/>
  <c r="S26" i="23" s="1"/>
  <c r="O30" i="23"/>
  <c r="Q30" i="23" s="1"/>
  <c r="S30" i="23" s="1"/>
  <c r="O34" i="23"/>
  <c r="Q34" i="23" s="1"/>
  <c r="S34" i="23" s="1"/>
  <c r="O38" i="23"/>
  <c r="Q38" i="23" s="1"/>
  <c r="S38" i="23" s="1"/>
  <c r="O7" i="23"/>
  <c r="Q7" i="23" s="1"/>
  <c r="S7" i="23" s="1"/>
  <c r="O27" i="23"/>
  <c r="Q27" i="23" s="1"/>
  <c r="S27" i="23" s="1"/>
  <c r="O8" i="23"/>
  <c r="Q8" i="23" s="1"/>
  <c r="S8" i="23" s="1"/>
  <c r="O16" i="23"/>
  <c r="Q16" i="23" s="1"/>
  <c r="S16" i="23" s="1"/>
  <c r="O20" i="23"/>
  <c r="Q20" i="23" s="1"/>
  <c r="S20" i="23" s="1"/>
  <c r="O24" i="23"/>
  <c r="Q24" i="23" s="1"/>
  <c r="S24" i="23" s="1"/>
  <c r="O28" i="23"/>
  <c r="Q28" i="23" s="1"/>
  <c r="S28" i="23" s="1"/>
  <c r="O32" i="23"/>
  <c r="Q32" i="23" s="1"/>
  <c r="S32" i="23" s="1"/>
  <c r="O36" i="23"/>
  <c r="Q36" i="23" s="1"/>
  <c r="S36" i="23" s="1"/>
  <c r="O6" i="23"/>
  <c r="Q6" i="23" s="1"/>
  <c r="O7" i="11"/>
  <c r="Q7" i="11" s="1"/>
  <c r="S7" i="11" s="1"/>
  <c r="O11" i="11"/>
  <c r="Q11" i="11" s="1"/>
  <c r="S11" i="11" s="1"/>
  <c r="O15" i="11"/>
  <c r="Q15" i="11" s="1"/>
  <c r="S15" i="11" s="1"/>
  <c r="O19" i="11"/>
  <c r="Q19" i="11" s="1"/>
  <c r="S19" i="11" s="1"/>
  <c r="O23" i="11"/>
  <c r="Q23" i="11" s="1"/>
  <c r="S23" i="11" s="1"/>
  <c r="O27" i="11"/>
  <c r="Q27" i="11" s="1"/>
  <c r="S27" i="11" s="1"/>
  <c r="O31" i="11"/>
  <c r="Q31" i="11" s="1"/>
  <c r="S31" i="11" s="1"/>
  <c r="O35" i="11"/>
  <c r="Q35" i="11" s="1"/>
  <c r="S35" i="11" s="1"/>
  <c r="O8" i="11"/>
  <c r="Q8" i="11" s="1"/>
  <c r="S8" i="11" s="1"/>
  <c r="O12" i="11"/>
  <c r="Q12" i="11" s="1"/>
  <c r="S12" i="11" s="1"/>
  <c r="O16" i="11"/>
  <c r="Q16" i="11" s="1"/>
  <c r="S16" i="11" s="1"/>
  <c r="O20" i="11"/>
  <c r="Q20" i="11" s="1"/>
  <c r="S20" i="11" s="1"/>
  <c r="O24" i="11"/>
  <c r="Q24" i="11" s="1"/>
  <c r="S24" i="11" s="1"/>
  <c r="O28" i="11"/>
  <c r="Q28" i="11" s="1"/>
  <c r="S28" i="11" s="1"/>
  <c r="O32" i="11"/>
  <c r="Q32" i="11" s="1"/>
  <c r="S32" i="11" s="1"/>
  <c r="O36" i="11"/>
  <c r="Q36" i="11" s="1"/>
  <c r="S36" i="11" s="1"/>
  <c r="O9" i="11"/>
  <c r="Q9" i="11" s="1"/>
  <c r="S9" i="11" s="1"/>
  <c r="O13" i="11"/>
  <c r="Q13" i="11" s="1"/>
  <c r="S13" i="11" s="1"/>
  <c r="O17" i="11"/>
  <c r="Q17" i="11" s="1"/>
  <c r="S17" i="11" s="1"/>
  <c r="O21" i="11"/>
  <c r="Q21" i="11" s="1"/>
  <c r="S21" i="11" s="1"/>
  <c r="O25" i="11"/>
  <c r="Q25" i="11" s="1"/>
  <c r="S25" i="11" s="1"/>
  <c r="O29" i="11"/>
  <c r="Q29" i="11" s="1"/>
  <c r="S29" i="11" s="1"/>
  <c r="O33" i="11"/>
  <c r="Q33" i="11" s="1"/>
  <c r="S33" i="11" s="1"/>
  <c r="O37" i="11"/>
  <c r="Q37" i="11" s="1"/>
  <c r="S37" i="11" s="1"/>
  <c r="O10" i="11"/>
  <c r="Q10" i="11" s="1"/>
  <c r="S10" i="11" s="1"/>
  <c r="O14" i="11"/>
  <c r="Q14" i="11" s="1"/>
  <c r="S14" i="11" s="1"/>
  <c r="O18" i="11"/>
  <c r="Q18" i="11" s="1"/>
  <c r="S18" i="11" s="1"/>
  <c r="O22" i="11"/>
  <c r="Q22" i="11" s="1"/>
  <c r="S22" i="11" s="1"/>
  <c r="O26" i="11"/>
  <c r="Q26" i="11" s="1"/>
  <c r="S26" i="11" s="1"/>
  <c r="O30" i="11"/>
  <c r="Q30" i="11" s="1"/>
  <c r="S30" i="11" s="1"/>
  <c r="O34" i="11"/>
  <c r="Q34" i="11" s="1"/>
  <c r="S34" i="11" s="1"/>
  <c r="O38" i="11"/>
  <c r="Q38" i="11" s="1"/>
  <c r="S38" i="11" s="1"/>
  <c r="O6" i="11"/>
  <c r="Q6" i="11" s="1"/>
  <c r="O67" i="7"/>
  <c r="Q67" i="7" s="1"/>
  <c r="S67" i="7" s="1"/>
  <c r="O29" i="7"/>
  <c r="Q29" i="7" s="1"/>
  <c r="S29" i="7" s="1"/>
  <c r="O7" i="7"/>
  <c r="Q7" i="7" s="1"/>
  <c r="S7" i="7" s="1"/>
  <c r="O92" i="7"/>
  <c r="Q92" i="7" s="1"/>
  <c r="S92" i="7" s="1"/>
  <c r="O32" i="7"/>
  <c r="Q32" i="7" s="1"/>
  <c r="S32" i="7" s="1"/>
  <c r="O57" i="7"/>
  <c r="Q57" i="7" s="1"/>
  <c r="S57" i="7" s="1"/>
  <c r="O15" i="7"/>
  <c r="Q15" i="7" s="1"/>
  <c r="S15" i="7" s="1"/>
  <c r="O83" i="7"/>
  <c r="Q83" i="7" s="1"/>
  <c r="S83" i="7" s="1"/>
  <c r="O45" i="7"/>
  <c r="Q45" i="7" s="1"/>
  <c r="S45" i="7" s="1"/>
  <c r="O23" i="7"/>
  <c r="Q23" i="7" s="1"/>
  <c r="S23" i="7" s="1"/>
  <c r="O14" i="7"/>
  <c r="Q14" i="7" s="1"/>
  <c r="S14" i="7" s="1"/>
  <c r="O48" i="7"/>
  <c r="Q48" i="7" s="1"/>
  <c r="S48" i="7" s="1"/>
  <c r="O79" i="7"/>
  <c r="Q79" i="7" s="1"/>
  <c r="S79" i="7" s="1"/>
  <c r="O10" i="13"/>
  <c r="Q10" i="13" s="1"/>
  <c r="S10" i="13" s="1"/>
  <c r="O99" i="7"/>
  <c r="Q99" i="7" s="1"/>
  <c r="S99" i="7" s="1"/>
  <c r="O61" i="7"/>
  <c r="Q61" i="7" s="1"/>
  <c r="S61" i="7" s="1"/>
  <c r="O39" i="7"/>
  <c r="Q39" i="7" s="1"/>
  <c r="S39" i="7" s="1"/>
  <c r="O86" i="7"/>
  <c r="Q86" i="7" s="1"/>
  <c r="S86" i="7" s="1"/>
  <c r="P7" i="4"/>
  <c r="O64" i="7"/>
  <c r="Q64" i="7" s="1"/>
  <c r="S64" i="7" s="1"/>
  <c r="O50" i="7"/>
  <c r="Q50" i="7" s="1"/>
  <c r="S50" i="7" s="1"/>
  <c r="O8" i="7"/>
  <c r="Q8" i="7" s="1"/>
  <c r="S8" i="7" s="1"/>
  <c r="O26" i="7"/>
  <c r="Q26" i="7" s="1"/>
  <c r="S26" i="7" s="1"/>
  <c r="O81" i="7"/>
  <c r="Q81" i="7" s="1"/>
  <c r="S81" i="7" s="1"/>
  <c r="O59" i="7"/>
  <c r="Q59" i="7" s="1"/>
  <c r="S59" i="7" s="1"/>
  <c r="O37" i="7"/>
  <c r="Q37" i="7" s="1"/>
  <c r="S37" i="7" s="1"/>
  <c r="O84" i="7"/>
  <c r="Q84" i="7" s="1"/>
  <c r="S84" i="7" s="1"/>
  <c r="O6" i="13"/>
  <c r="Q6" i="13" s="1"/>
  <c r="S6" i="13" s="1"/>
  <c r="O38" i="7"/>
  <c r="Q38" i="7" s="1"/>
  <c r="S38" i="7" s="1"/>
  <c r="O93" i="7"/>
  <c r="Q93" i="7" s="1"/>
  <c r="S93" i="7" s="1"/>
  <c r="O71" i="7"/>
  <c r="Q71" i="7" s="1"/>
  <c r="S71" i="7" s="1"/>
  <c r="O33" i="7"/>
  <c r="Q33" i="7" s="1"/>
  <c r="S33" i="7" s="1"/>
  <c r="O11" i="7"/>
  <c r="Q11" i="7" s="1"/>
  <c r="S11" i="7" s="1"/>
  <c r="O54" i="7"/>
  <c r="Q54" i="7" s="1"/>
  <c r="S54" i="7" s="1"/>
  <c r="O63" i="7"/>
  <c r="Q63" i="7" s="1"/>
  <c r="S63" i="7" s="1"/>
  <c r="O100" i="7"/>
  <c r="Q100" i="7" s="1"/>
  <c r="S100" i="7" s="1"/>
  <c r="O58" i="7"/>
  <c r="Q58" i="7" s="1"/>
  <c r="S58" i="7" s="1"/>
  <c r="O6" i="7"/>
  <c r="Q6" i="7" s="1"/>
  <c r="O87" i="7"/>
  <c r="Q87" i="7" s="1"/>
  <c r="S87" i="7" s="1"/>
  <c r="O49" i="7"/>
  <c r="Q49" i="7" s="1"/>
  <c r="S49" i="7" s="1"/>
  <c r="O27" i="7"/>
  <c r="Q27" i="7" s="1"/>
  <c r="S27" i="7" s="1"/>
  <c r="O94" i="7"/>
  <c r="Q94" i="7" s="1"/>
  <c r="S94" i="7" s="1"/>
  <c r="O34" i="7"/>
  <c r="Q34" i="7" s="1"/>
  <c r="S34" i="7" s="1"/>
  <c r="F61" i="4"/>
  <c r="F62" i="4" s="1"/>
  <c r="O9" i="13"/>
  <c r="Q9" i="13" s="1"/>
  <c r="S9" i="13" s="1"/>
  <c r="O41" i="7"/>
  <c r="Q41" i="7" s="1"/>
  <c r="S41" i="7" s="1"/>
  <c r="O82" i="7"/>
  <c r="Q82" i="7" s="1"/>
  <c r="S82" i="7" s="1"/>
  <c r="O103" i="7"/>
  <c r="Q103" i="7" s="1"/>
  <c r="S103" i="7" s="1"/>
  <c r="O65" i="7"/>
  <c r="Q65" i="7" s="1"/>
  <c r="S65" i="7" s="1"/>
  <c r="O43" i="7"/>
  <c r="Q43" i="7" s="1"/>
  <c r="S43" i="7" s="1"/>
  <c r="O42" i="7"/>
  <c r="Q42" i="7" s="1"/>
  <c r="S42" i="7" s="1"/>
  <c r="O53" i="7"/>
  <c r="Q53" i="7" s="1"/>
  <c r="S53" i="7" s="1"/>
  <c r="O40" i="7"/>
  <c r="Q40" i="7" s="1"/>
  <c r="S40" i="7" s="1"/>
  <c r="O91" i="7"/>
  <c r="Q91" i="7" s="1"/>
  <c r="S91" i="7" s="1"/>
  <c r="O89" i="7"/>
  <c r="Q89" i="7" s="1"/>
  <c r="S89" i="7" s="1"/>
  <c r="O68" i="7"/>
  <c r="Q68" i="7" s="1"/>
  <c r="S68" i="7" s="1"/>
  <c r="A1" i="4"/>
  <c r="O90" i="7"/>
  <c r="Q90" i="7" s="1"/>
  <c r="S90" i="7" s="1"/>
  <c r="O21" i="7"/>
  <c r="Q21" i="7" s="1"/>
  <c r="S21" i="7" s="1"/>
  <c r="O52" i="7"/>
  <c r="Q52" i="7" s="1"/>
  <c r="S52" i="7" s="1"/>
  <c r="O105" i="7"/>
  <c r="Q105" i="7" s="1"/>
  <c r="S105" i="7" s="1"/>
  <c r="O51" i="7"/>
  <c r="Q51" i="7" s="1"/>
  <c r="S51" i="7" s="1"/>
  <c r="O77" i="7"/>
  <c r="Q77" i="7" s="1"/>
  <c r="S77" i="7" s="1"/>
  <c r="O8" i="13"/>
  <c r="Q8" i="13" s="1"/>
  <c r="O76" i="7"/>
  <c r="Q76" i="7" s="1"/>
  <c r="S76" i="7" s="1"/>
  <c r="O30" i="7"/>
  <c r="Q30" i="7" s="1"/>
  <c r="S30" i="7" s="1"/>
  <c r="O18" i="7"/>
  <c r="Q18" i="7" s="1"/>
  <c r="S18" i="7" s="1"/>
  <c r="O70" i="7"/>
  <c r="Q70" i="7" s="1"/>
  <c r="S70" i="7" s="1"/>
  <c r="O28" i="7"/>
  <c r="Q28" i="7" s="1"/>
  <c r="S28" i="7" s="1"/>
  <c r="O95" i="7"/>
  <c r="Q95" i="7" s="1"/>
  <c r="S95" i="7" s="1"/>
  <c r="O104" i="7"/>
  <c r="Q104" i="7" s="1"/>
  <c r="S104" i="7" s="1"/>
  <c r="O66" i="7"/>
  <c r="Q66" i="7" s="1"/>
  <c r="S66" i="7" s="1"/>
  <c r="O35" i="7"/>
  <c r="Q35" i="7" s="1"/>
  <c r="S35" i="7" s="1"/>
  <c r="O60" i="7"/>
  <c r="Q60" i="7" s="1"/>
  <c r="S60" i="7" s="1"/>
  <c r="O85" i="7"/>
  <c r="Q85" i="7" s="1"/>
  <c r="S85" i="7" s="1"/>
  <c r="M7" i="4"/>
  <c r="O22" i="7"/>
  <c r="Q22" i="7" s="1"/>
  <c r="S22" i="7" s="1"/>
  <c r="O96" i="7"/>
  <c r="Q96" i="7" s="1"/>
  <c r="S96" i="7" s="1"/>
  <c r="O7" i="13"/>
  <c r="Q7" i="13" s="1"/>
  <c r="S7" i="13" s="1"/>
  <c r="O24" i="7"/>
  <c r="Q24" i="7" s="1"/>
  <c r="S24" i="7" s="1"/>
  <c r="O97" i="7"/>
  <c r="Q97" i="7" s="1"/>
  <c r="S97" i="7" s="1"/>
  <c r="O75" i="7"/>
  <c r="Q75" i="7" s="1"/>
  <c r="S75" i="7" s="1"/>
  <c r="O25" i="7"/>
  <c r="Q25" i="7" s="1"/>
  <c r="S25" i="7" s="1"/>
  <c r="O102" i="7"/>
  <c r="Q102" i="7" s="1"/>
  <c r="S102" i="7" s="1"/>
  <c r="O62" i="7"/>
  <c r="Q62" i="7" s="1"/>
  <c r="S62" i="7" s="1"/>
  <c r="O69" i="7"/>
  <c r="Q69" i="7" s="1"/>
  <c r="S69" i="7" s="1"/>
  <c r="O56" i="7"/>
  <c r="Q56" i="7" s="1"/>
  <c r="S56" i="7" s="1"/>
  <c r="O10" i="7"/>
  <c r="Q10" i="7" s="1"/>
  <c r="S10" i="7" s="1"/>
  <c r="O9" i="7"/>
  <c r="Q9" i="7" s="1"/>
  <c r="S9" i="7" s="1"/>
  <c r="O72" i="7"/>
  <c r="Q72" i="7" s="1"/>
  <c r="S72" i="7" s="1"/>
  <c r="O55" i="7"/>
  <c r="Q55" i="7" s="1"/>
  <c r="S55" i="7" s="1"/>
  <c r="O80" i="7"/>
  <c r="Q80" i="7" s="1"/>
  <c r="S80" i="7" s="1"/>
  <c r="O47" i="7"/>
  <c r="Q47" i="7" s="1"/>
  <c r="S47" i="7" s="1"/>
  <c r="O73" i="7"/>
  <c r="Q73" i="7" s="1"/>
  <c r="S73" i="7" s="1"/>
  <c r="O88" i="7"/>
  <c r="Q88" i="7" s="1"/>
  <c r="S88" i="7" s="1"/>
  <c r="O46" i="7"/>
  <c r="Q46" i="7" s="1"/>
  <c r="S46" i="7" s="1"/>
  <c r="O19" i="7"/>
  <c r="Q19" i="7" s="1"/>
  <c r="S19" i="7" s="1"/>
  <c r="O44" i="7"/>
  <c r="Q44" i="7" s="1"/>
  <c r="S44" i="7" s="1"/>
  <c r="O11" i="13"/>
  <c r="Q11" i="13" s="1"/>
  <c r="S11" i="13" s="1"/>
  <c r="O74" i="7"/>
  <c r="Q74" i="7" s="1"/>
  <c r="S74" i="7" s="1"/>
  <c r="O78" i="7"/>
  <c r="Q78" i="7" s="1"/>
  <c r="S78" i="7" s="1"/>
  <c r="O7" i="4"/>
  <c r="O98" i="7"/>
  <c r="Q98" i="7" s="1"/>
  <c r="S98" i="7" s="1"/>
  <c r="O20" i="7"/>
  <c r="Q20" i="7" s="1"/>
  <c r="S20" i="7" s="1"/>
  <c r="Q7" i="4"/>
  <c r="O13" i="7"/>
  <c r="Q13" i="7" s="1"/>
  <c r="S13" i="7" s="1"/>
  <c r="O12" i="7"/>
  <c r="Q12" i="7" s="1"/>
  <c r="S12" i="7" s="1"/>
  <c r="N7" i="4"/>
  <c r="O101" i="7"/>
  <c r="Q101" i="7" s="1"/>
  <c r="S101" i="7" s="1"/>
  <c r="O36" i="7"/>
  <c r="Q36" i="7" s="1"/>
  <c r="S36" i="7" s="1"/>
  <c r="O17" i="7"/>
  <c r="Q17" i="7" s="1"/>
  <c r="S17" i="7" s="1"/>
  <c r="O16" i="7"/>
  <c r="Q16" i="7" s="1"/>
  <c r="S16" i="7" s="1"/>
  <c r="O31" i="7"/>
  <c r="Q31" i="7" s="1"/>
  <c r="S31" i="7" s="1"/>
  <c r="Q5" i="23" l="1"/>
  <c r="E7" i="2" s="1"/>
  <c r="S6" i="23"/>
  <c r="S5" i="23" s="1"/>
  <c r="S8" i="13"/>
  <c r="Q5" i="13"/>
  <c r="S6" i="11"/>
  <c r="N10" i="4"/>
  <c r="N12" i="4" s="1"/>
  <c r="N13" i="4" s="1"/>
  <c r="N14" i="4" s="1"/>
  <c r="N22" i="4"/>
  <c r="S6" i="7"/>
  <c r="Q5" i="7"/>
  <c r="Q22" i="4"/>
  <c r="Q10" i="4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M10" i="4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/>
  <c r="O10" i="4"/>
  <c r="O12" i="4" s="1"/>
  <c r="O13" i="4" s="1"/>
  <c r="O14" i="4" s="1"/>
  <c r="O22" i="4"/>
  <c r="P22" i="4"/>
  <c r="P10" i="4"/>
  <c r="P12" i="4" s="1"/>
  <c r="P13" i="4" s="1"/>
  <c r="P14" i="4" s="1"/>
  <c r="C8" i="2" l="1"/>
  <c r="F8" i="2" s="1"/>
  <c r="S5" i="13"/>
  <c r="M24" i="4"/>
  <c r="Q24" i="4"/>
  <c r="Q25" i="4"/>
  <c r="Q27" i="4" s="1"/>
  <c r="C6" i="2"/>
  <c r="F6" i="2" s="1"/>
  <c r="H6" i="2" s="1"/>
  <c r="G6" i="2" s="1"/>
  <c r="S5" i="7"/>
  <c r="M25" i="4"/>
  <c r="M27" i="4" s="1"/>
  <c r="Q39" i="11" s="1"/>
  <c r="N15" i="4"/>
  <c r="P15" i="4"/>
  <c r="O15" i="4"/>
  <c r="S39" i="11" l="1"/>
  <c r="S5" i="11" s="1"/>
  <c r="Q5" i="11"/>
  <c r="C7" i="2" s="1"/>
  <c r="F7" i="2" s="1"/>
  <c r="H7" i="2" s="1"/>
  <c r="G7" i="2" s="1"/>
  <c r="P16" i="4"/>
  <c r="P17" i="4" s="1"/>
  <c r="P18" i="4" s="1"/>
  <c r="P19" i="4" s="1"/>
  <c r="P20" i="4" s="1"/>
  <c r="P21" i="4" s="1"/>
  <c r="O16" i="4"/>
  <c r="N16" i="4"/>
  <c r="H8" i="2"/>
  <c r="F9" i="2" l="1"/>
  <c r="P25" i="4"/>
  <c r="P27" i="4" s="1"/>
  <c r="N17" i="4"/>
  <c r="N18" i="4" s="1"/>
  <c r="N19" i="4" s="1"/>
  <c r="N20" i="4" s="1"/>
  <c r="N21" i="4" s="1"/>
  <c r="O17" i="4"/>
  <c r="P24" i="4"/>
  <c r="G8" i="2"/>
  <c r="G9" i="2" s="1"/>
  <c r="H9" i="2"/>
  <c r="N25" i="4" l="1"/>
  <c r="N27" i="4" s="1"/>
  <c r="O18" i="4"/>
  <c r="O19" i="4" s="1"/>
  <c r="O20" i="4" s="1"/>
  <c r="O21" i="4" s="1"/>
  <c r="O24" i="4" s="1"/>
  <c r="N24" i="4"/>
  <c r="O25" i="4" l="1"/>
  <c r="O27" i="4" s="1"/>
</calcChain>
</file>

<file path=xl/sharedStrings.xml><?xml version="1.0" encoding="utf-8"?>
<sst xmlns="http://schemas.openxmlformats.org/spreadsheetml/2006/main" count="2693" uniqueCount="415">
  <si>
    <t>Bieter</t>
  </si>
  <si>
    <t>(bitte ausfüllen)</t>
  </si>
  <si>
    <t>Firma:</t>
  </si>
  <si>
    <t>Straße:</t>
  </si>
  <si>
    <t>PLZ:</t>
  </si>
  <si>
    <t>Ort:</t>
  </si>
  <si>
    <t>Telefon:</t>
  </si>
  <si>
    <t>Fax:</t>
  </si>
  <si>
    <t>Ansprechpartner:</t>
  </si>
  <si>
    <t>E-Mailadresse:</t>
  </si>
  <si>
    <t>Internetadresse:</t>
  </si>
  <si>
    <t>Inhaltsverzeichnis</t>
  </si>
  <si>
    <t>Los 1</t>
  </si>
  <si>
    <t>Preisübersicht</t>
  </si>
  <si>
    <t>SVS UnterhaltsRG</t>
  </si>
  <si>
    <t>Stundenverrechnungssatz UnterhaltsRG</t>
  </si>
  <si>
    <t>SVS GrundRG</t>
  </si>
  <si>
    <t>Stundenverrechnungssatz GrundRG</t>
  </si>
  <si>
    <t>Zusammenstellung der Jahrespreise (in Euro)</t>
  </si>
  <si>
    <t>Zurück zum Inhaltsverzeichnis</t>
  </si>
  <si>
    <t>Bieter:</t>
  </si>
  <si>
    <t>Preiszusammenstellung Los 1</t>
  </si>
  <si>
    <t>UnterhaltsRG</t>
  </si>
  <si>
    <t>GrundRG</t>
  </si>
  <si>
    <t>UnterhaltsRG (Ferien)</t>
  </si>
  <si>
    <t>Jahrespreis in €</t>
  </si>
  <si>
    <t>Objektname</t>
  </si>
  <si>
    <t>Los</t>
  </si>
  <si>
    <t>Nettopreis</t>
  </si>
  <si>
    <t>MwSt.</t>
  </si>
  <si>
    <t>Bruttopreis</t>
  </si>
  <si>
    <t>Jahrespreis Reinigung</t>
  </si>
  <si>
    <t>Kalkulation des Stundenverrechnungssatzes Unterhaltsreinigung</t>
  </si>
  <si>
    <t>Zuschlag in Prozent</t>
  </si>
  <si>
    <t>Beitragsfreiheit in Prozent des Produktivlohns</t>
  </si>
  <si>
    <t>1.00</t>
  </si>
  <si>
    <t>Produktiver Stundenlohn</t>
  </si>
  <si>
    <t>%</t>
  </si>
  <si>
    <t>€</t>
  </si>
  <si>
    <t>Nachtzu-schlag</t>
  </si>
  <si>
    <t>Sonntags-zuschlag</t>
  </si>
  <si>
    <t>Zuschlag 25.12., 26.12. und 01.05.</t>
  </si>
  <si>
    <t>2.00</t>
  </si>
  <si>
    <t>Lohngebundene Kosten</t>
  </si>
  <si>
    <t>Zuschlag</t>
  </si>
  <si>
    <t>2.10</t>
  </si>
  <si>
    <t>Soziallöhne</t>
  </si>
  <si>
    <t>2.11</t>
  </si>
  <si>
    <t>Gesetzliche Feiertage</t>
  </si>
  <si>
    <t>davon Beitragsfrei</t>
  </si>
  <si>
    <t>2.12</t>
  </si>
  <si>
    <t>Urlaubsentgelt</t>
  </si>
  <si>
    <t>davon zu berücksichtigende Zuschläge für Beitragsberechnung</t>
  </si>
  <si>
    <t>2.13</t>
  </si>
  <si>
    <t>Zusätzliches Urlaubsentgelt</t>
  </si>
  <si>
    <t>2.14</t>
  </si>
  <si>
    <t>Lohnfortzahlung im Krankheitsfall</t>
  </si>
  <si>
    <t>Krankenversicherung auf Produktivlohn</t>
  </si>
  <si>
    <t>2.15</t>
  </si>
  <si>
    <t>Arbeitsfreistellung</t>
  </si>
  <si>
    <t>Krankenversicherung auf Soziallöhne</t>
  </si>
  <si>
    <t>Zwischensumme Soziallöhne</t>
  </si>
  <si>
    <t>Rentenversicherung auf Produktivlohn</t>
  </si>
  <si>
    <t>Rentenversicherung auf Soziallöhne</t>
  </si>
  <si>
    <t>2.20</t>
  </si>
  <si>
    <t>Sozialversicherungsbeiträge auf Fertigungslohn und Soziallöhne (Arbeitgeberanteil)</t>
  </si>
  <si>
    <t>Arbeitslosenversicherung auf Produktivlohn</t>
  </si>
  <si>
    <t>2.21</t>
  </si>
  <si>
    <r>
      <t>Krankenversicherung auf Produktivlohn</t>
    </r>
    <r>
      <rPr>
        <vertAlign val="superscript"/>
        <sz val="8"/>
        <rFont val="Tahoma"/>
        <family val="2"/>
      </rPr>
      <t>1</t>
    </r>
  </si>
  <si>
    <t>Arbeitslosenversicherung auf Soziallöhne</t>
  </si>
  <si>
    <t>Pflegeversicherung auf Produktivlohn</t>
  </si>
  <si>
    <t>2.22</t>
  </si>
  <si>
    <r>
      <t>Rentenversicherung auf Produktivlohn</t>
    </r>
    <r>
      <rPr>
        <vertAlign val="superscript"/>
        <sz val="8"/>
        <rFont val="Tahoma"/>
        <family val="2"/>
      </rPr>
      <t>2</t>
    </r>
  </si>
  <si>
    <t>Pflegeversicherung auf Soziallöhne</t>
  </si>
  <si>
    <t>U2 Mutterschaftsaufwendungen auf Produktivlohn</t>
  </si>
  <si>
    <t>2.23</t>
  </si>
  <si>
    <r>
      <t>Arbeitslosenversicherung auf Produktivlohn</t>
    </r>
    <r>
      <rPr>
        <vertAlign val="superscript"/>
        <sz val="8"/>
        <rFont val="Tahoma"/>
        <family val="2"/>
      </rPr>
      <t>3</t>
    </r>
  </si>
  <si>
    <t>U2 Mutterschaftsaufwendungen auf Soziallöhne</t>
  </si>
  <si>
    <t>Gesetz. Unfallvers. Beitrag auf vollen Zuschlag</t>
  </si>
  <si>
    <t>2.24</t>
  </si>
  <si>
    <r>
      <t>Pflegeversicherung auf Produktivlohn</t>
    </r>
    <r>
      <rPr>
        <vertAlign val="superscript"/>
        <sz val="8"/>
        <rFont val="Tahoma"/>
        <family val="2"/>
      </rPr>
      <t>4</t>
    </r>
  </si>
  <si>
    <t>Zuschläge</t>
  </si>
  <si>
    <t>2.25</t>
  </si>
  <si>
    <r>
      <t>U2 Mutterschaftsaufwendungen auf Produktivlohn</t>
    </r>
    <r>
      <rPr>
        <vertAlign val="superscript"/>
        <sz val="8"/>
        <rFont val="Tahoma"/>
        <family val="2"/>
      </rPr>
      <t>5</t>
    </r>
  </si>
  <si>
    <t>Zuschläge inklusive Beiträge</t>
  </si>
  <si>
    <t>2.30</t>
  </si>
  <si>
    <r>
      <t>Gesetzliche Unfallversicherung</t>
    </r>
    <r>
      <rPr>
        <vertAlign val="superscript"/>
        <sz val="8"/>
        <rFont val="Tahoma"/>
        <family val="2"/>
      </rPr>
      <t>6</t>
    </r>
  </si>
  <si>
    <t>Zuschlag + Stundenverrechnungssatz Normalstunde</t>
  </si>
  <si>
    <t>2.31</t>
  </si>
  <si>
    <r>
      <t>Insolvenzgeldumlage</t>
    </r>
    <r>
      <rPr>
        <vertAlign val="superscript"/>
        <sz val="8"/>
        <rFont val="Tahoma"/>
        <family val="2"/>
      </rPr>
      <t>7</t>
    </r>
  </si>
  <si>
    <t>Zwischensumme Lohnkosten inkl. Sozialabgaben (Summe 2.10 - 2.31)</t>
  </si>
  <si>
    <t>Zusätzliche lohngebundene Kosten</t>
  </si>
  <si>
    <t>2.50</t>
  </si>
  <si>
    <t>Haftpflichtversicherung</t>
  </si>
  <si>
    <t>2.60</t>
  </si>
  <si>
    <t>Sonstige Personalkosten</t>
  </si>
  <si>
    <t>Summe lohngebundene Kosten (Summe 2.10 - 2.60)</t>
  </si>
  <si>
    <t>3.00</t>
  </si>
  <si>
    <t>Sonstige auftragsbezogene Kosten</t>
  </si>
  <si>
    <t>3.10</t>
  </si>
  <si>
    <t>Aufsichtslohn Vorarbeiter</t>
  </si>
  <si>
    <t>inkl. Soziale Folgekosten f. Aufsichtslohn</t>
  </si>
  <si>
    <t>3.20</t>
  </si>
  <si>
    <t>Fahrkostenzuschuss</t>
  </si>
  <si>
    <t>3.30</t>
  </si>
  <si>
    <t>Fertigungsmaterial; Maschinen, Geräte, AfA, etc.</t>
  </si>
  <si>
    <t>3.40</t>
  </si>
  <si>
    <t>Sondereinzelkosten</t>
  </si>
  <si>
    <t>Zwischensumme sonstige auftragsbezogene Kosten (Summe 3.10 - 3.40)</t>
  </si>
  <si>
    <t>4.00</t>
  </si>
  <si>
    <t>Unternehmensbezogene Kosten</t>
  </si>
  <si>
    <t>4.10</t>
  </si>
  <si>
    <t>Gehälter</t>
  </si>
  <si>
    <t>4.11</t>
  </si>
  <si>
    <t>Technische Angestellte, inkl. Lohnfolgekosten</t>
  </si>
  <si>
    <t>4.12</t>
  </si>
  <si>
    <t>Kaufmännische Angestellte, inkl. Lohnfolgekosten</t>
  </si>
  <si>
    <t>4.20</t>
  </si>
  <si>
    <t>Fuhrparkkosten</t>
  </si>
  <si>
    <t>4.30</t>
  </si>
  <si>
    <t>Fertigungshilfskosten</t>
  </si>
  <si>
    <t>4.31</t>
  </si>
  <si>
    <t>Löhne Hilfsdienste, inkl. Lohnfolgekosten</t>
  </si>
  <si>
    <t>4.32</t>
  </si>
  <si>
    <t>Sonstige Betriebskosten</t>
  </si>
  <si>
    <t>4.40</t>
  </si>
  <si>
    <t>Schwerbehindertenabgabe</t>
  </si>
  <si>
    <t>4.50</t>
  </si>
  <si>
    <t>Sonstige Verwaltungskosten</t>
  </si>
  <si>
    <t>4.60</t>
  </si>
  <si>
    <t>Betriebsratskosten</t>
  </si>
  <si>
    <t>4.70</t>
  </si>
  <si>
    <t>Sonstige Kosten (Verbandsbeiträge, Zertifizierung etc.)</t>
  </si>
  <si>
    <t>4.80</t>
  </si>
  <si>
    <t>Gewerbesteuer</t>
  </si>
  <si>
    <t>Zwischensumme unternehmensbezogene Kosten (Summe 4.10 - 4.80)</t>
  </si>
  <si>
    <t>5.00</t>
  </si>
  <si>
    <t>Selbstkosten (Summe 1.00 - 4.80)</t>
  </si>
  <si>
    <t>6.00</t>
  </si>
  <si>
    <t>Zuschlag für Wagnis + Gewinn auf Selbstkosten</t>
  </si>
  <si>
    <t>Stundenverrechnungssatz Normalstunde</t>
  </si>
  <si>
    <t>Kalkulationszuschlag (Pos 6 - Pos 1)</t>
  </si>
  <si>
    <t>Basisdaten</t>
  </si>
  <si>
    <t>Anzahl Tage</t>
  </si>
  <si>
    <t>durchschnittliche Urlaubstage</t>
  </si>
  <si>
    <t>durchschnittliche Krankheitstage</t>
  </si>
  <si>
    <t>bezahlte Freistellungen</t>
  </si>
  <si>
    <t>Feiertage</t>
  </si>
  <si>
    <t>Vorgaben</t>
  </si>
  <si>
    <t>Bundesland</t>
  </si>
  <si>
    <t xml:space="preserve">Krankenversicherung (gesetzlicher Arbeitgeberanteil): </t>
  </si>
  <si>
    <t>Sachsen</t>
  </si>
  <si>
    <t xml:space="preserve">Rentenversicherung (gesetzlicher Arbeitgeberanteil): </t>
  </si>
  <si>
    <t xml:space="preserve">Arbeitslosenversicherung (gesetzlicher Arbeitgeberanteil): </t>
  </si>
  <si>
    <t xml:space="preserve">Pflegeversicherung (gesetzlicher Arbeitgeberanteil alle Bundesländer außer Sachsen: hier 0,5% Abzug): </t>
  </si>
  <si>
    <t>Diese Position wird von jeder Krankenkasse separat berechnet.</t>
  </si>
  <si>
    <t>Die gesetzliche Unfallversicherung richtet sich nach der Gefahrenklasse, die für den Betrieb gilt.</t>
  </si>
  <si>
    <t>Insolvenzgeldumlage (gesetzlicher Arbeitgeberanteil - trägt der Arbeitgeber allein):</t>
  </si>
  <si>
    <t>Zuschlag Ostern und Neujahr</t>
  </si>
  <si>
    <t>Zuschlag übrige Feiertage</t>
  </si>
  <si>
    <t>Kalkulation des Stundenverrechnungssatzes Grundreinigung</t>
  </si>
  <si>
    <t>Leistungswerte Unterhaltsreinigung</t>
  </si>
  <si>
    <t>Objekt:</t>
  </si>
  <si>
    <t xml:space="preserve">Bearbeitungshinweis: 
Bitte tragen Sie Ihren vorgesehenen Leistungswert in die jeweilige gelbe Zelle ein. 
Im Tabellenblatt "Kalkulation" haben Sie die Möglichkeit, in einzelnen Räumen 
von dem raumgruppenspezifischen Leistungswert abzuweichen. </t>
  </si>
  <si>
    <t>Reinigungsgruppe (RG)</t>
  </si>
  <si>
    <t xml:space="preserve">Leistungswert (m²/h) </t>
  </si>
  <si>
    <t>Jahresreinigungsfläche (m²)</t>
  </si>
  <si>
    <t>Büro</t>
  </si>
  <si>
    <t>Funktion</t>
  </si>
  <si>
    <t>Sanitär</t>
  </si>
  <si>
    <t>Technik</t>
  </si>
  <si>
    <t>Treppe</t>
  </si>
  <si>
    <t>Umkleide</t>
  </si>
  <si>
    <t>Unterricht</t>
  </si>
  <si>
    <t>Verkehr</t>
  </si>
  <si>
    <t>Versorgung</t>
  </si>
  <si>
    <t>Kalkulation Unterhaltsreinigung</t>
  </si>
  <si>
    <t>lfd. Nr.</t>
  </si>
  <si>
    <t>Raum-
nummer</t>
  </si>
  <si>
    <t>Etage</t>
  </si>
  <si>
    <t>Bereich</t>
  </si>
  <si>
    <t>Raumbe-
zeichnung</t>
  </si>
  <si>
    <t>Bodenart</t>
  </si>
  <si>
    <t>Reinigungs-
fläche 
(m²)</t>
  </si>
  <si>
    <t>aufge-
legter 
Teppich</t>
  </si>
  <si>
    <t>Anzahl 
Schmutz-
fang</t>
  </si>
  <si>
    <t>Reinigungs-
gruppe</t>
  </si>
  <si>
    <t>Reini-
gungs-
intervall</t>
  </si>
  <si>
    <t>Reinigungs-
fläche / Jahr 
(m²)</t>
  </si>
  <si>
    <t>Leistungs-
werte 
(m²/h)</t>
  </si>
  <si>
    <t>SVS
(€/h)</t>
  </si>
  <si>
    <t>Reinigungs-
stunden / 
Jahr</t>
  </si>
  <si>
    <t>Preis / Jahr 
(€)</t>
  </si>
  <si>
    <t>Reinigungs-
stunden für eine Reinigung</t>
  </si>
  <si>
    <t>Preis für eine Reinigung 
(€)</t>
  </si>
  <si>
    <t>Gesamt</t>
  </si>
  <si>
    <t>EG</t>
  </si>
  <si>
    <t>Linoleum</t>
  </si>
  <si>
    <t>KG</t>
  </si>
  <si>
    <t>M1</t>
  </si>
  <si>
    <t>Fliesen</t>
  </si>
  <si>
    <t>1.OG</t>
  </si>
  <si>
    <t>2.OG</t>
  </si>
  <si>
    <t>WC Jungen</t>
  </si>
  <si>
    <t>WC Mädchen</t>
  </si>
  <si>
    <t>Reinigungstage pro Objekt und Reinigungsart</t>
  </si>
  <si>
    <t>Objekt</t>
  </si>
  <si>
    <t>Objektart</t>
  </si>
  <si>
    <t>Schule</t>
  </si>
  <si>
    <t>Reinigungsart</t>
  </si>
  <si>
    <t>maximale Reinigungstage</t>
  </si>
  <si>
    <t>Turnus</t>
  </si>
  <si>
    <t>Reinigungs-häufigkeit</t>
  </si>
  <si>
    <t>M2</t>
  </si>
  <si>
    <t>J6</t>
  </si>
  <si>
    <t>J5</t>
  </si>
  <si>
    <t>J4</t>
  </si>
  <si>
    <t>J3</t>
  </si>
  <si>
    <t>J2</t>
  </si>
  <si>
    <t>J1</t>
  </si>
  <si>
    <t>J0,5</t>
  </si>
  <si>
    <t>nB</t>
  </si>
  <si>
    <t>Reinigungen / Jahr</t>
  </si>
  <si>
    <t>Lehrerzimmer</t>
  </si>
  <si>
    <t>Textil</t>
  </si>
  <si>
    <t>2024
in %</t>
  </si>
  <si>
    <t>TH</t>
  </si>
  <si>
    <t>Sportboden Linoleum</t>
  </si>
  <si>
    <t>Gruppenraum</t>
  </si>
  <si>
    <t>Terrazzo</t>
  </si>
  <si>
    <t>Sportstätte</t>
  </si>
  <si>
    <t>Reinigungstage</t>
  </si>
  <si>
    <t>Dr. Eberle Oberschule Nossen</t>
  </si>
  <si>
    <t>0.3</t>
  </si>
  <si>
    <t>Hausmeister</t>
  </si>
  <si>
    <t>Reinigung</t>
  </si>
  <si>
    <t>Vorraum</t>
  </si>
  <si>
    <t>Gang</t>
  </si>
  <si>
    <t>TH1</t>
  </si>
  <si>
    <t>TH2</t>
  </si>
  <si>
    <t>Garderobe</t>
  </si>
  <si>
    <t>Werkraum 1</t>
  </si>
  <si>
    <t xml:space="preserve">Flur </t>
  </si>
  <si>
    <t>Werkraum 2/Technik</t>
  </si>
  <si>
    <t>TH 3</t>
  </si>
  <si>
    <t>Gang3</t>
  </si>
  <si>
    <t>Vorbereitung Technik</t>
  </si>
  <si>
    <t>Nähzimmer</t>
  </si>
  <si>
    <t>Speiseraum2</t>
  </si>
  <si>
    <t>Speiseraum Durchg.</t>
  </si>
  <si>
    <t>Kantine</t>
  </si>
  <si>
    <t>Gang2</t>
  </si>
  <si>
    <t>Gang Kantine</t>
  </si>
  <si>
    <t>Mehrzweckraum 1</t>
  </si>
  <si>
    <t>Mehrzweckraum Durchg.</t>
  </si>
  <si>
    <t>Gang1</t>
  </si>
  <si>
    <t>Musikraum</t>
  </si>
  <si>
    <t>0.4</t>
  </si>
  <si>
    <t>0.5</t>
  </si>
  <si>
    <t>0.9</t>
  </si>
  <si>
    <t>0.11</t>
  </si>
  <si>
    <t>0.12</t>
  </si>
  <si>
    <t>0.14</t>
  </si>
  <si>
    <t>0.15</t>
  </si>
  <si>
    <t>0.16</t>
  </si>
  <si>
    <t>0.17</t>
  </si>
  <si>
    <t>0.18</t>
  </si>
  <si>
    <t>0.19</t>
  </si>
  <si>
    <t>0.20</t>
  </si>
  <si>
    <t>0.21</t>
  </si>
  <si>
    <t>0.22</t>
  </si>
  <si>
    <t>0.23</t>
  </si>
  <si>
    <t>0.24</t>
  </si>
  <si>
    <t>0.25</t>
  </si>
  <si>
    <t>0.26</t>
  </si>
  <si>
    <t>0.27</t>
  </si>
  <si>
    <t>0.28</t>
  </si>
  <si>
    <t>0.29</t>
  </si>
  <si>
    <t>0.30</t>
  </si>
  <si>
    <t>0.31</t>
  </si>
  <si>
    <t>0.32</t>
  </si>
  <si>
    <t>Chemie</t>
  </si>
  <si>
    <t>Vorber. Chemie</t>
  </si>
  <si>
    <t>Eingangshalle</t>
  </si>
  <si>
    <t>Mehrzweckraum ELT</t>
  </si>
  <si>
    <t>WC Lehrer1</t>
  </si>
  <si>
    <t>WC Lehrer2</t>
  </si>
  <si>
    <t>Gang/TH2</t>
  </si>
  <si>
    <t>TH3</t>
  </si>
  <si>
    <t>Vorb. Info</t>
  </si>
  <si>
    <t>Info</t>
  </si>
  <si>
    <t>allgm. Unterrricht</t>
  </si>
  <si>
    <t>Windfang</t>
  </si>
  <si>
    <t>Physik</t>
  </si>
  <si>
    <t>Vorber. Physik</t>
  </si>
  <si>
    <t>stellv. Schulleiter</t>
  </si>
  <si>
    <t>Sekretatriat</t>
  </si>
  <si>
    <t>Schulleiter</t>
  </si>
  <si>
    <t>TH2/Gang</t>
  </si>
  <si>
    <t>TH3/Gang</t>
  </si>
  <si>
    <t>Vorbereitungsr.</t>
  </si>
  <si>
    <t>Informatik</t>
  </si>
  <si>
    <t>Vorbereitg. WTH</t>
  </si>
  <si>
    <t>Lehrküche</t>
  </si>
  <si>
    <t>WTH</t>
  </si>
  <si>
    <t>Biologie</t>
  </si>
  <si>
    <t>Vorber. Biologie</t>
  </si>
  <si>
    <t>Geographie</t>
  </si>
  <si>
    <t>Vorber. Geographie</t>
  </si>
  <si>
    <t>Kunst</t>
  </si>
  <si>
    <t>Vorber. Kunst</t>
  </si>
  <si>
    <t>allgem. Unterricht</t>
  </si>
  <si>
    <t>Bücherzimmer</t>
  </si>
  <si>
    <t>Abstellraum</t>
  </si>
  <si>
    <t>Medienkabinett</t>
  </si>
  <si>
    <t>Ruheraum</t>
  </si>
  <si>
    <t>Vorber. Englisch</t>
  </si>
  <si>
    <t>Englisch</t>
  </si>
  <si>
    <t>Deutsch</t>
  </si>
  <si>
    <t>Vorber. Deutsch</t>
  </si>
  <si>
    <t>Geschichte</t>
  </si>
  <si>
    <t>Vorber. Mathe/Gesch.</t>
  </si>
  <si>
    <t>Mathematik</t>
  </si>
  <si>
    <t>Beratungsraum</t>
  </si>
  <si>
    <t>Umkleide/ WC</t>
  </si>
  <si>
    <t>Konferenz/ Aula</t>
  </si>
  <si>
    <t>OS Nossen</t>
  </si>
  <si>
    <t>TH OS Nossen</t>
  </si>
  <si>
    <t>GTA OS Nossen</t>
  </si>
  <si>
    <t>2025
in %</t>
  </si>
  <si>
    <t>Umkleide D.1</t>
  </si>
  <si>
    <t>Dusche D.1</t>
  </si>
  <si>
    <t>WC D.1</t>
  </si>
  <si>
    <t>WC D.2</t>
  </si>
  <si>
    <t>Dusche H.1</t>
  </si>
  <si>
    <t>WC H.1</t>
  </si>
  <si>
    <t>WC H.2</t>
  </si>
  <si>
    <t>Umkleide H.1</t>
  </si>
  <si>
    <t>ELT</t>
  </si>
  <si>
    <t>Abst.</t>
  </si>
  <si>
    <t>Flur 1</t>
  </si>
  <si>
    <t>Foyer</t>
  </si>
  <si>
    <t>Geräteraum 1</t>
  </si>
  <si>
    <t>Dusche L.2</t>
  </si>
  <si>
    <t>Dusche L.1</t>
  </si>
  <si>
    <t>Lehrerumkl. 1</t>
  </si>
  <si>
    <t>Lehrerumkl. 2</t>
  </si>
  <si>
    <t>Putzm.</t>
  </si>
  <si>
    <t>Umkleide H.2</t>
  </si>
  <si>
    <t>Dusche H.2</t>
  </si>
  <si>
    <t>WC. H.3</t>
  </si>
  <si>
    <t>Dusche D.2</t>
  </si>
  <si>
    <t>Umkleide D.2</t>
  </si>
  <si>
    <t>WC D.3</t>
  </si>
  <si>
    <t>WC H.4</t>
  </si>
  <si>
    <t>WC D.4</t>
  </si>
  <si>
    <t>Flur 2</t>
  </si>
  <si>
    <t>WC D. + Behind.</t>
  </si>
  <si>
    <t>WC H.</t>
  </si>
  <si>
    <t>Sanitätsraum</t>
  </si>
  <si>
    <t>Schaltzentrale</t>
  </si>
  <si>
    <t>Geräteraum 2</t>
  </si>
  <si>
    <t xml:space="preserve">Außengeräte/ Hallenwart </t>
  </si>
  <si>
    <t>0.10</t>
  </si>
  <si>
    <t>0.8</t>
  </si>
  <si>
    <t>0.7</t>
  </si>
  <si>
    <t>0.6</t>
  </si>
  <si>
    <t>0.2</t>
  </si>
  <si>
    <t>0.1</t>
  </si>
  <si>
    <t>0.35</t>
  </si>
  <si>
    <t>0.33</t>
  </si>
  <si>
    <t>0.34</t>
  </si>
  <si>
    <t>GTA</t>
  </si>
  <si>
    <t>GTA - Raum 1</t>
  </si>
  <si>
    <t>GTA - Raum 2</t>
  </si>
  <si>
    <t>WC D</t>
  </si>
  <si>
    <t>Voraum</t>
  </si>
  <si>
    <t>WC H</t>
  </si>
  <si>
    <t>Vorbereitung</t>
  </si>
  <si>
    <t>Lei Unter OS Nossen</t>
  </si>
  <si>
    <t>Kal Unter OS Nossen</t>
  </si>
  <si>
    <t>Lei Unter TH OS Nossen</t>
  </si>
  <si>
    <t>Kal Unter TH OS Nossen</t>
  </si>
  <si>
    <t>Lei Unter TH OS Nossen (Ferien)</t>
  </si>
  <si>
    <t>Kal Unter TH OS Nossen (Ferien)</t>
  </si>
  <si>
    <t>Lei Grund OS Nossen</t>
  </si>
  <si>
    <t>Kal Grund OS Nossen</t>
  </si>
  <si>
    <t>Lei Unter GTA OS Nossen</t>
  </si>
  <si>
    <t>Kal Unter GTA OS Nossen</t>
  </si>
  <si>
    <t>Lei Grund TH OS Nossen</t>
  </si>
  <si>
    <t>Kal Grund TH OS Nossen</t>
  </si>
  <si>
    <t>Lei Grund GTA OS Nossen</t>
  </si>
  <si>
    <t>Kal Grund GTA OS Nossen</t>
  </si>
  <si>
    <t>Leistung Unterhaltsreinigung OS Nossen</t>
  </si>
  <si>
    <t>Kalkulation Unterhaltsreinigung OS Nossen</t>
  </si>
  <si>
    <t>Leistung Unterhaltsreinigung TH OS Nossen</t>
  </si>
  <si>
    <t>Kalkulation Unterhaltsreinigung TH OS Nossen</t>
  </si>
  <si>
    <t>Leistung Unterhaltsreinigung GTA OS Nossen</t>
  </si>
  <si>
    <t>Kalkulation Unterhaltsreinigung GTA OS Nossen</t>
  </si>
  <si>
    <t>Leistung Unterhaltsreinigung TH OS Nossen (Ferien)</t>
  </si>
  <si>
    <t>Kalkulation Unterhaltsreinigung TH OS Nossen (Ferien)</t>
  </si>
  <si>
    <t>Leistung Grundreinigung OS Nossen</t>
  </si>
  <si>
    <t>Kalkulation Grundreinigung OS Nossen</t>
  </si>
  <si>
    <t>Leistung Grundreinigung TH OS Nossen</t>
  </si>
  <si>
    <t>Kalkulation Grundreinigung TH OS Nossen</t>
  </si>
  <si>
    <t>Leistung Grundreinigung Hort OS Nossen</t>
  </si>
  <si>
    <t>Kalkulation Grundreinigung Hort OS Nossen</t>
  </si>
  <si>
    <t>Zweifeldsporthalle - Oberschule Nossen</t>
  </si>
  <si>
    <t>GTA Gebäude - Oberschule Nossen</t>
  </si>
  <si>
    <t>Sport</t>
  </si>
  <si>
    <t>Sporthalle</t>
  </si>
  <si>
    <t>0.36</t>
  </si>
  <si>
    <t>Schulgebäude - Dr. Eberle Oberschule</t>
  </si>
  <si>
    <t>Zweifeldsporthalle - Dr. Eberle Oberschule</t>
  </si>
  <si>
    <t>GTA Gebäude - Dr. Eberle Oberschule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</si>
</sst>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_ ;\-#,##0\ "/>
    <numFmt numFmtId="166" formatCode="0.000"/>
    <numFmt numFmtId="167" formatCode="#,##0.000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u/>
      <sz val="10"/>
      <color indexed="12"/>
      <name val="Tahoma"/>
      <family val="2"/>
    </font>
    <font>
      <sz val="8"/>
      <color rgb="FFFF0000"/>
      <name val="Tahoma"/>
      <family val="2"/>
    </font>
    <font>
      <sz val="8"/>
      <name val="Tahoma"/>
      <family val="2"/>
    </font>
    <font>
      <u/>
      <sz val="8"/>
      <color indexed="12"/>
      <name val="Tahoma"/>
      <family val="2"/>
    </font>
    <font>
      <b/>
      <sz val="8"/>
      <name val="Tahoma"/>
      <family val="2"/>
    </font>
    <font>
      <sz val="11"/>
      <color rgb="FF222222"/>
      <name val="Tahoma"/>
      <family val="2"/>
    </font>
    <font>
      <b/>
      <sz val="10"/>
      <name val="Tahoma"/>
      <family val="2"/>
    </font>
    <font>
      <vertAlign val="superscript"/>
      <sz val="8"/>
      <name val="Tahoma"/>
      <family val="2"/>
    </font>
    <font>
      <i/>
      <sz val="8"/>
      <name val="Tahoma"/>
      <family val="2"/>
    </font>
    <font>
      <u/>
      <sz val="10"/>
      <color rgb="FF0000FF"/>
      <name val="Tahoma"/>
      <family val="2"/>
    </font>
    <font>
      <sz val="8"/>
      <color indexed="9"/>
      <name val="Tahoma"/>
      <family val="2"/>
    </font>
    <font>
      <sz val="8"/>
      <color indexed="8"/>
      <name val="Tahoma"/>
      <family val="2"/>
    </font>
    <font>
      <sz val="8"/>
      <color indexed="55"/>
      <name val="Tahoma"/>
      <family val="2"/>
    </font>
    <font>
      <sz val="10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lightGray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2E6C4"/>
        <bgColor indexed="64"/>
      </patternFill>
    </fill>
    <fill>
      <patternFill patternType="darkGray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1" applyFont="1" applyAlignment="1" applyProtection="1">
      <alignment vertical="center"/>
    </xf>
    <xf numFmtId="0" fontId="2" fillId="0" borderId="2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Font="1" applyAlignment="1" applyProtection="1"/>
    <xf numFmtId="0" fontId="4" fillId="0" borderId="0" xfId="1" applyFont="1" applyAlignment="1" applyProtection="1"/>
    <xf numFmtId="0" fontId="2" fillId="0" borderId="0" xfId="3" applyFont="1"/>
    <xf numFmtId="0" fontId="6" fillId="0" borderId="0" xfId="0" applyFont="1" applyAlignment="1">
      <alignment horizontal="left" vertical="center"/>
    </xf>
    <xf numFmtId="0" fontId="2" fillId="0" borderId="1" xfId="3" applyFont="1" applyBorder="1"/>
    <xf numFmtId="165" fontId="2" fillId="6" borderId="1" xfId="4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Alignment="1">
      <alignment vertical="center"/>
    </xf>
    <xf numFmtId="2" fontId="2" fillId="0" borderId="1" xfId="3" applyNumberFormat="1" applyFont="1" applyBorder="1" applyAlignment="1">
      <alignment vertical="center"/>
    </xf>
    <xf numFmtId="165" fontId="2" fillId="0" borderId="1" xfId="4" applyNumberFormat="1" applyFont="1" applyBorder="1" applyAlignment="1" applyProtection="1">
      <alignment horizontal="center" vertical="center"/>
    </xf>
    <xf numFmtId="165" fontId="2" fillId="0" borderId="1" xfId="4" applyNumberFormat="1" applyFont="1" applyFill="1" applyBorder="1" applyAlignment="1" applyProtection="1">
      <alignment horizontal="center" vertical="center"/>
    </xf>
    <xf numFmtId="2" fontId="8" fillId="0" borderId="0" xfId="0" applyNumberFormat="1" applyFont="1" applyAlignment="1">
      <alignment vertical="center"/>
    </xf>
    <xf numFmtId="166" fontId="8" fillId="0" borderId="2" xfId="0" applyNumberFormat="1" applyFont="1" applyBorder="1" applyAlignment="1">
      <alignment horizontal="center" vertical="center"/>
    </xf>
    <xf numFmtId="2" fontId="8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2" fillId="0" borderId="1" xfId="3" applyNumberFormat="1" applyFont="1" applyBorder="1" applyAlignment="1">
      <alignment horizontal="center" vertical="center"/>
    </xf>
    <xf numFmtId="0" fontId="9" fillId="0" borderId="0" xfId="0" applyFont="1"/>
    <xf numFmtId="166" fontId="6" fillId="2" borderId="2" xfId="0" applyNumberFormat="1" applyFont="1" applyFill="1" applyBorder="1" applyAlignment="1" applyProtection="1">
      <alignment horizontal="center" vertical="center"/>
      <protection locked="0"/>
    </xf>
    <xf numFmtId="2" fontId="6" fillId="0" borderId="2" xfId="0" applyNumberFormat="1" applyFont="1" applyBorder="1" applyAlignment="1">
      <alignment horizontal="center"/>
    </xf>
    <xf numFmtId="2" fontId="10" fillId="0" borderId="1" xfId="3" applyNumberFormat="1" applyFont="1" applyBorder="1" applyAlignment="1">
      <alignment horizontal="center" vertical="center"/>
    </xf>
    <xf numFmtId="2" fontId="2" fillId="0" borderId="1" xfId="3" applyNumberFormat="1" applyFont="1" applyBorder="1"/>
    <xf numFmtId="166" fontId="8" fillId="0" borderId="5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6" fillId="0" borderId="0" xfId="0" applyNumberFormat="1" applyFont="1"/>
    <xf numFmtId="166" fontId="6" fillId="6" borderId="2" xfId="0" applyNumberFormat="1" applyFont="1" applyFill="1" applyBorder="1" applyAlignment="1" applyProtection="1">
      <alignment horizontal="center" vertical="center"/>
      <protection locked="0"/>
    </xf>
    <xf numFmtId="166" fontId="6" fillId="0" borderId="2" xfId="0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2" fontId="8" fillId="0" borderId="0" xfId="0" applyNumberFormat="1" applyFont="1"/>
    <xf numFmtId="166" fontId="8" fillId="0" borderId="5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6" fillId="0" borderId="0" xfId="0" applyFont="1"/>
    <xf numFmtId="0" fontId="2" fillId="0" borderId="0" xfId="3" applyFont="1" applyAlignment="1">
      <alignment vertical="center"/>
    </xf>
    <xf numFmtId="166" fontId="8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vertical="center"/>
    </xf>
    <xf numFmtId="2" fontId="12" fillId="6" borderId="6" xfId="0" applyNumberFormat="1" applyFont="1" applyFill="1" applyBorder="1" applyAlignment="1" applyProtection="1">
      <alignment vertical="center"/>
      <protection locked="0"/>
    </xf>
    <xf numFmtId="2" fontId="12" fillId="6" borderId="5" xfId="0" applyNumberFormat="1" applyFont="1" applyFill="1" applyBorder="1" applyAlignment="1" applyProtection="1">
      <alignment vertical="center"/>
      <protection locked="0"/>
    </xf>
    <xf numFmtId="2" fontId="12" fillId="6" borderId="0" xfId="0" applyNumberFormat="1" applyFont="1" applyFill="1" applyAlignment="1" applyProtection="1">
      <alignment vertical="center"/>
      <protection locked="0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7" fontId="6" fillId="6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166" fontId="8" fillId="0" borderId="2" xfId="0" applyNumberFormat="1" applyFont="1" applyBorder="1" applyAlignment="1">
      <alignment horizontal="center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6" fontId="6" fillId="6" borderId="2" xfId="0" applyNumberFormat="1" applyFont="1" applyFill="1" applyBorder="1" applyAlignment="1" applyProtection="1">
      <alignment horizontal="center"/>
      <protection locked="0"/>
    </xf>
    <xf numFmtId="166" fontId="6" fillId="2" borderId="2" xfId="0" applyNumberFormat="1" applyFont="1" applyFill="1" applyBorder="1" applyAlignment="1" applyProtection="1">
      <alignment horizontal="center"/>
      <protection locked="0"/>
    </xf>
    <xf numFmtId="166" fontId="8" fillId="0" borderId="0" xfId="0" applyNumberFormat="1" applyFont="1" applyAlignment="1">
      <alignment horizontal="center"/>
    </xf>
    <xf numFmtId="2" fontId="12" fillId="0" borderId="0" xfId="0" applyNumberFormat="1" applyFont="1"/>
    <xf numFmtId="2" fontId="12" fillId="6" borderId="6" xfId="0" applyNumberFormat="1" applyFont="1" applyFill="1" applyBorder="1" applyProtection="1">
      <protection locked="0"/>
    </xf>
    <xf numFmtId="0" fontId="12" fillId="0" borderId="0" xfId="0" applyFont="1" applyAlignment="1">
      <alignment vertical="center"/>
    </xf>
    <xf numFmtId="0" fontId="7" fillId="0" borderId="0" xfId="1" applyFont="1" applyAlignment="1" applyProtection="1">
      <alignment vertical="center"/>
    </xf>
    <xf numFmtId="0" fontId="6" fillId="0" borderId="0" xfId="0" applyFont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9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0" xfId="1" applyFont="1" applyAlignment="1" applyProtection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 wrapText="1"/>
    </xf>
    <xf numFmtId="4" fontId="6" fillId="7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vertical="center" wrapText="1"/>
      <protection locked="0"/>
    </xf>
    <xf numFmtId="2" fontId="6" fillId="0" borderId="1" xfId="0" applyNumberFormat="1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left" vertical="center"/>
    </xf>
    <xf numFmtId="0" fontId="6" fillId="0" borderId="1" xfId="0" applyFont="1" applyBorder="1"/>
    <xf numFmtId="4" fontId="15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center" vertical="center"/>
    </xf>
    <xf numFmtId="4" fontId="16" fillId="8" borderId="1" xfId="0" applyNumberFormat="1" applyFont="1" applyFill="1" applyBorder="1" applyAlignment="1">
      <alignment horizontal="center" vertical="center"/>
    </xf>
    <xf numFmtId="4" fontId="6" fillId="8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2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3" fillId="0" borderId="0" xfId="1" applyFont="1"/>
    <xf numFmtId="0" fontId="13" fillId="0" borderId="0" xfId="1" quotePrefix="1" applyFont="1" applyAlignment="1" applyProtection="1">
      <alignment horizontal="left" vertical="center"/>
    </xf>
    <xf numFmtId="4" fontId="0" fillId="0" borderId="1" xfId="0" applyNumberFormat="1" applyBorder="1"/>
    <xf numFmtId="0" fontId="0" fillId="0" borderId="0" xfId="0" applyAlignment="1">
      <alignment horizontal="center"/>
    </xf>
    <xf numFmtId="4" fontId="2" fillId="9" borderId="1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left" vertical="center"/>
    </xf>
    <xf numFmtId="2" fontId="8" fillId="5" borderId="0" xfId="0" applyNumberFormat="1" applyFont="1" applyFill="1" applyAlignment="1">
      <alignment horizontal="left" vertical="center"/>
    </xf>
    <xf numFmtId="2" fontId="8" fillId="0" borderId="0" xfId="0" applyNumberFormat="1" applyFont="1" applyAlignment="1">
      <alignment horizontal="left" wrapText="1"/>
    </xf>
    <xf numFmtId="2" fontId="8" fillId="0" borderId="0" xfId="0" applyNumberFormat="1" applyFont="1" applyAlignment="1">
      <alignment horizontal="left"/>
    </xf>
    <xf numFmtId="2" fontId="8" fillId="5" borderId="0" xfId="0" applyNumberFormat="1" applyFont="1" applyFill="1" applyAlignment="1">
      <alignment horizontal="left"/>
    </xf>
    <xf numFmtId="0" fontId="6" fillId="0" borderId="2" xfId="0" applyFont="1" applyBorder="1" applyAlignment="1">
      <alignment horizontal="left" vertical="center" wrapText="1"/>
    </xf>
  </cellXfs>
  <cellStyles count="5">
    <cellStyle name="Komma 2 2" xfId="4" xr:uid="{5F5BDCF3-D3E4-4D9A-9CD8-A3962CE013FF}"/>
    <cellStyle name="Link" xfId="1" builtinId="8"/>
    <cellStyle name="Standard" xfId="0" builtinId="0"/>
    <cellStyle name="Standard 2 2" xfId="3" xr:uid="{5EE7FF3D-13D5-4EB6-88CA-10F4AF732B8C}"/>
    <cellStyle name="Standard 5" xfId="2" xr:uid="{F582B0E4-2915-421C-B688-D7D8C20487A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FB326-5B0B-4531-A8CD-4ED4B6D8B712}">
  <dimension ref="A1:B29"/>
  <sheetViews>
    <sheetView workbookViewId="0">
      <selection activeCell="B30" sqref="B30"/>
    </sheetView>
  </sheetViews>
  <sheetFormatPr baseColWidth="10" defaultRowHeight="15" x14ac:dyDescent="0.25"/>
  <cols>
    <col min="1" max="1" width="27.42578125" customWidth="1"/>
    <col min="2" max="2" width="52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3"/>
    </row>
    <row r="3" spans="1:2" x14ac:dyDescent="0.25">
      <c r="A3" s="2" t="s">
        <v>3</v>
      </c>
      <c r="B3" s="3"/>
    </row>
    <row r="4" spans="1:2" x14ac:dyDescent="0.25">
      <c r="A4" s="2" t="s">
        <v>4</v>
      </c>
      <c r="B4" s="3"/>
    </row>
    <row r="5" spans="1:2" x14ac:dyDescent="0.25">
      <c r="A5" s="2" t="s">
        <v>5</v>
      </c>
      <c r="B5" s="3"/>
    </row>
    <row r="6" spans="1:2" x14ac:dyDescent="0.25">
      <c r="A6" s="2" t="s">
        <v>6</v>
      </c>
      <c r="B6" s="3"/>
    </row>
    <row r="7" spans="1:2" x14ac:dyDescent="0.25">
      <c r="A7" s="2" t="s">
        <v>7</v>
      </c>
      <c r="B7" s="3"/>
    </row>
    <row r="8" spans="1:2" x14ac:dyDescent="0.25">
      <c r="A8" s="2" t="s">
        <v>8</v>
      </c>
      <c r="B8" s="3"/>
    </row>
    <row r="9" spans="1:2" x14ac:dyDescent="0.25">
      <c r="A9" s="2" t="s">
        <v>9</v>
      </c>
      <c r="B9" s="3"/>
    </row>
    <row r="10" spans="1:2" x14ac:dyDescent="0.25">
      <c r="A10" s="2" t="s">
        <v>10</v>
      </c>
      <c r="B10" s="3"/>
    </row>
    <row r="11" spans="1:2" x14ac:dyDescent="0.25">
      <c r="A11" s="1" t="s">
        <v>11</v>
      </c>
      <c r="B11" s="1" t="s">
        <v>12</v>
      </c>
    </row>
    <row r="12" spans="1:2" x14ac:dyDescent="0.25">
      <c r="A12" s="4" t="s">
        <v>13</v>
      </c>
      <c r="B12" s="83" t="s">
        <v>13</v>
      </c>
    </row>
    <row r="13" spans="1:2" x14ac:dyDescent="0.25">
      <c r="A13" s="4" t="s">
        <v>14</v>
      </c>
      <c r="B13" s="4" t="s">
        <v>15</v>
      </c>
    </row>
    <row r="14" spans="1:2" x14ac:dyDescent="0.25">
      <c r="A14" s="4" t="s">
        <v>16</v>
      </c>
      <c r="B14" s="4" t="s">
        <v>17</v>
      </c>
    </row>
    <row r="15" spans="1:2" x14ac:dyDescent="0.25">
      <c r="A15" s="83" t="s">
        <v>379</v>
      </c>
      <c r="B15" s="83" t="s">
        <v>393</v>
      </c>
    </row>
    <row r="16" spans="1:2" x14ac:dyDescent="0.25">
      <c r="A16" s="83" t="s">
        <v>380</v>
      </c>
      <c r="B16" s="83" t="s">
        <v>394</v>
      </c>
    </row>
    <row r="17" spans="1:2" x14ac:dyDescent="0.25">
      <c r="A17" s="83" t="s">
        <v>381</v>
      </c>
      <c r="B17" s="83" t="s">
        <v>395</v>
      </c>
    </row>
    <row r="18" spans="1:2" x14ac:dyDescent="0.25">
      <c r="A18" s="83" t="s">
        <v>382</v>
      </c>
      <c r="B18" s="83" t="s">
        <v>396</v>
      </c>
    </row>
    <row r="19" spans="1:2" x14ac:dyDescent="0.25">
      <c r="A19" s="83" t="s">
        <v>387</v>
      </c>
      <c r="B19" s="83" t="s">
        <v>397</v>
      </c>
    </row>
    <row r="20" spans="1:2" x14ac:dyDescent="0.25">
      <c r="A20" s="83" t="s">
        <v>388</v>
      </c>
      <c r="B20" s="83" t="s">
        <v>398</v>
      </c>
    </row>
    <row r="21" spans="1:2" x14ac:dyDescent="0.25">
      <c r="A21" s="113" t="s">
        <v>383</v>
      </c>
      <c r="B21" s="83" t="s">
        <v>399</v>
      </c>
    </row>
    <row r="22" spans="1:2" x14ac:dyDescent="0.25">
      <c r="A22" s="113" t="s">
        <v>384</v>
      </c>
      <c r="B22" s="83" t="s">
        <v>400</v>
      </c>
    </row>
    <row r="23" spans="1:2" x14ac:dyDescent="0.25">
      <c r="A23" s="83" t="s">
        <v>385</v>
      </c>
      <c r="B23" s="83" t="s">
        <v>401</v>
      </c>
    </row>
    <row r="24" spans="1:2" x14ac:dyDescent="0.25">
      <c r="A24" s="83" t="s">
        <v>386</v>
      </c>
      <c r="B24" s="83" t="s">
        <v>402</v>
      </c>
    </row>
    <row r="25" spans="1:2" x14ac:dyDescent="0.25">
      <c r="A25" s="83" t="s">
        <v>389</v>
      </c>
      <c r="B25" s="83" t="s">
        <v>403</v>
      </c>
    </row>
    <row r="26" spans="1:2" x14ac:dyDescent="0.25">
      <c r="A26" s="83" t="s">
        <v>390</v>
      </c>
      <c r="B26" s="83" t="s">
        <v>404</v>
      </c>
    </row>
    <row r="27" spans="1:2" x14ac:dyDescent="0.25">
      <c r="A27" s="83" t="s">
        <v>391</v>
      </c>
      <c r="B27" s="83" t="s">
        <v>405</v>
      </c>
    </row>
    <row r="28" spans="1:2" x14ac:dyDescent="0.25">
      <c r="A28" s="83" t="s">
        <v>392</v>
      </c>
      <c r="B28" s="83" t="s">
        <v>406</v>
      </c>
    </row>
    <row r="29" spans="1:2" x14ac:dyDescent="0.25">
      <c r="A29" s="112" t="s">
        <v>231</v>
      </c>
      <c r="B29" s="112" t="s">
        <v>231</v>
      </c>
    </row>
  </sheetData>
  <sheetProtection algorithmName="SHA-512" hashValue="7tmhI6KeRq0+N/GEYFlAq7qMOBum3EZJFdxsQjHk1UgeSOcXdByyP56JMtiUKqhj/JPGZka9OZp7QBIfqBX7bA==" saltValue="HhlsM6eBxrZ6fAobQ6xp8w==" spinCount="100000" sheet="1" objects="1" scenarios="1"/>
  <protectedRanges>
    <protectedRange algorithmName="SHA-512" hashValue="JvR9FyVeQjEqwzsMyxsV13DDjiFIH2oQSsJvRrZaWxuH8YTc61l50nuw+aW2kylE+sYCwJPKNK7f99bbYODGjg==" saltValue="sOvKitefBU3JHDo96Z+DWA==" spinCount="100000" sqref="B2:B10" name="Bereich1"/>
  </protectedRanges>
  <hyperlinks>
    <hyperlink ref="A12" location="'Preisübersicht'!A1" display="Preisübersicht" xr:uid="{D3990DB7-D1F8-4633-A4B7-D4823A62851A}"/>
    <hyperlink ref="A13" location="'SVS UnterhaltsRG'!A1" display="SVS UnterhaltsRG" xr:uid="{BC72B74B-6A24-4FCC-A054-4E54E57CFFD8}"/>
    <hyperlink ref="A14" location="'SVS GrundRG'!A1" display="SVS GrundRG" xr:uid="{EBBF7D13-2176-4DA7-8EF7-89B80F709105}"/>
    <hyperlink ref="A16" location="'Kal Unter OS Nossen'!A1" display="Kal Unter OS Nossen" xr:uid="{159C0430-06ED-4B2D-8294-E9546DF7201C}"/>
    <hyperlink ref="A17" location="'Lei Unter TH OS Nossen'!A1" display="Lei Unter TH OS Nossen" xr:uid="{7448B07B-0C85-4261-8CEB-BF55B504D835}"/>
    <hyperlink ref="A18" location="'Kal Unter TH OS Nossen'!A1" display="Kal Unter TH OS Nossen" xr:uid="{F3F4EBAC-4336-4C71-A837-1BA761883BA6}"/>
    <hyperlink ref="B12" location="'Preisübersicht'!A1" display="Preisübersicht" xr:uid="{17E63901-4B24-4CC8-9748-1D74E4B79FC1}"/>
    <hyperlink ref="B13" location="'SVS UnterhaltsRG'!A1" display="SVS UnterhaltsRG" xr:uid="{B197E5E0-1536-4DB6-A4F0-B14012E6A5C5}"/>
    <hyperlink ref="B14" location="'SVS GrundRG'!A1" display="SVS GrundRG" xr:uid="{ABDCFC26-02B5-4562-816C-78B79D628AE0}"/>
    <hyperlink ref="B15" location="'Lei Unter OS Nossen'!A1" display="Leistung Unterhaltsreinigung OS Nossen" xr:uid="{1EC33EA1-FAE9-43BD-8E56-BFE8626B3D97}"/>
    <hyperlink ref="B16" location="'Kal Unter OS Nossen'!A1" display="Kalkulation Unterhaltsreinigung OS Nossen" xr:uid="{96191EA1-CB88-4451-9C8B-42160122810E}"/>
    <hyperlink ref="B17" location="'Lei Unter TH OS Nossen'!A1" display="Leistung Unterhaltsreinigung TH OS Nossen" xr:uid="{C47B0F06-1DAA-4EC2-ABE0-EE4DF22A5CB5}"/>
    <hyperlink ref="B18" location="'Kal Unter TH OS Nossen'!A1" display="Kalkulation Unterhaltsreinigung TH OS Nossen" xr:uid="{F23C8759-734A-4231-8FB0-1D94F31ABCD6}"/>
    <hyperlink ref="A19" location="'Lei Unter GTA OS Nossen'!A1" display="Lei Unter GTA OS Nossen" xr:uid="{4621546E-92D3-431D-8B41-E8E24249BEB9}"/>
    <hyperlink ref="A20" location="'Kal Unter GTA OS Nossen'!A1" display="Kal Unter GTA OS Nossen" xr:uid="{40E194FF-C852-4588-A8A5-7107203E290B}"/>
    <hyperlink ref="B19" location="'Lei Unter GTA OS Nossen'!A1" display="Leistung Unterhaltsreinigung GTA OS Nossen" xr:uid="{62294F44-64A7-46DE-A709-976F18816703}"/>
    <hyperlink ref="B20" location="'Kal Unter GTA OS Nossen'!A1" display="Kalkulation Unterhaltsreinigung GTA OS Nossen" xr:uid="{C16195A8-F929-417B-B0BF-7FB8CE2DE997}"/>
    <hyperlink ref="A15" location="'Lei Unter OS Nossen'!A1" display="Lei Unter OS Nossen" xr:uid="{57CB75AA-E04B-4D62-B89F-078CA435E12D}"/>
    <hyperlink ref="A24" location="'Kal Grund OS Nossen'!A1" display="Kal Grund OS Nossen" xr:uid="{248B00D6-B74C-4372-A083-3FE00892F264}"/>
    <hyperlink ref="A25" location="'Lei Grund TH OS Nossen'!A1" display="Lei Grund TH OS Nossen" xr:uid="{696AA8AB-24DF-4A0D-B89B-58D3C4FAFB39}"/>
    <hyperlink ref="A26" location="'Kal Grund TH OS Nossen'!A1" display="Kal Grund TH OS Nossen" xr:uid="{C58F05AC-F18D-4B63-8503-5A72F96933A8}"/>
    <hyperlink ref="B23" location="'Lei Grund OS Nossen'!A1" display="Leistung Grundreinigung OS Nossen" xr:uid="{15B330FC-827B-408E-BF2C-8478BC7A18B5}"/>
    <hyperlink ref="B24" location="'Kal Grund OS Nossen'!A1" display="Kalkulation Grundreinigung OS Nossen" xr:uid="{7BFFECFF-5131-4EF9-966F-817BE7B6EC57}"/>
    <hyperlink ref="B25" location="'Lei Grund TH OS Nossen'!A1" display="Leistung Grundreinigung TH OS Nossen" xr:uid="{0523A5C9-138D-4CDD-BCCD-8D9F34F915AC}"/>
    <hyperlink ref="B26" location="'Kal Grund TH OS Nossen'!A1" display="Kalkulation Grundreinigung TH OS Nossen" xr:uid="{462EF0F2-DEF6-458D-8D62-9F7DD599E618}"/>
    <hyperlink ref="A27" location="'Lei Grund GTA OS Nossen'!A1" display="Lei Grund GTA OS Nossen" xr:uid="{85941B4D-B1E3-4F3E-B353-C95EED74D7E1}"/>
    <hyperlink ref="A28" location="'Kal Grund GTA OS Nossen'!A1" display="Kal Grund GTA OS Nossen" xr:uid="{54537740-AEB0-40A5-A311-88332B60E6BD}"/>
    <hyperlink ref="B27" location="'Lei Grund GTA OS Nossen'!A1" display="Leistung Grundreinigung Hort OS Nossen" xr:uid="{1822EBA0-1B5F-476A-85A2-3B13513BC95C}"/>
    <hyperlink ref="B28" location="'Kal Grund GTA OS Nossen'!A1" display="Kalkulation Grundreinigung Hort OS Nossen" xr:uid="{D58CA1C3-EF86-48A9-AF03-8CA023854FB1}"/>
    <hyperlink ref="A23" location="'Lei Grund OS Nossen'!A1" display="Lei Grund OS Nossen" xr:uid="{71D63705-17F8-4F4D-8535-C68AAF83A83B}"/>
    <hyperlink ref="A29" location="Reinigungstage!A1" display="Reinigungstage" xr:uid="{062C3B86-9A0E-47E5-86D5-8F45A9808A19}"/>
    <hyperlink ref="B29" location="Reinigungstage!A1" display="Reinigungstage" xr:uid="{48CFFF23-90EA-4247-A6B0-20C209C289A1}"/>
    <hyperlink ref="A21" location="'Lei Unter TH OS Nossen (Ferien)'!A1" display="Lei Unter TH OS Nossen (Ferien)" xr:uid="{2E4C664A-1779-4F2A-9FCD-04FB013D94C7}"/>
    <hyperlink ref="A22" location="'Kal Unter TH OS Nossen (Ferien)'!A1" display="Kal Unter TH OS Nossen (Ferien)" xr:uid="{AB4AE72B-6E26-4C9D-BC2B-276BAE58C0D4}"/>
    <hyperlink ref="B21" location="'Lei Unter TH OS Nossen (Ferien)'!A1" display="Leistung Unterhaltsreinigung TH OS Nossen (Ferien)" xr:uid="{73E17DDB-A116-41EE-B90E-C9748E40A93E}"/>
    <hyperlink ref="B22" location="'Kal Unter TH OS Nossen (Ferien)'!A1" display="Kalkulation Unterhaltsreinigung TH OS Nossen (Ferien)" xr:uid="{CB6E2ED0-BB69-4B72-931B-6CE447595F47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62A8-0961-472B-88CA-D382D92A20D6}">
  <dimension ref="A1:S11"/>
  <sheetViews>
    <sheetView workbookViewId="0">
      <selection activeCell="E24" sqref="E24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162</v>
      </c>
      <c r="B3" s="14" t="s">
        <v>414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177</v>
      </c>
      <c r="B4" s="77" t="s">
        <v>178</v>
      </c>
      <c r="C4" s="84" t="s">
        <v>179</v>
      </c>
      <c r="D4" s="84" t="s">
        <v>180</v>
      </c>
      <c r="E4" s="77" t="s">
        <v>181</v>
      </c>
      <c r="F4" s="84" t="s">
        <v>182</v>
      </c>
      <c r="G4" s="77" t="s">
        <v>183</v>
      </c>
      <c r="H4" s="77" t="s">
        <v>184</v>
      </c>
      <c r="I4" s="77" t="s">
        <v>185</v>
      </c>
      <c r="J4" s="77" t="s">
        <v>186</v>
      </c>
      <c r="K4" s="77" t="s">
        <v>187</v>
      </c>
      <c r="L4" s="77" t="s">
        <v>222</v>
      </c>
      <c r="M4" s="77" t="s">
        <v>188</v>
      </c>
      <c r="N4" s="77" t="s">
        <v>189</v>
      </c>
      <c r="O4" s="77" t="s">
        <v>190</v>
      </c>
      <c r="P4" s="77" t="s">
        <v>191</v>
      </c>
      <c r="Q4" s="77" t="s">
        <v>192</v>
      </c>
      <c r="R4" s="77" t="s">
        <v>193</v>
      </c>
      <c r="S4" s="77" t="s">
        <v>194</v>
      </c>
    </row>
    <row r="5" spans="1:19" x14ac:dyDescent="0.25">
      <c r="A5" s="85" t="s">
        <v>195</v>
      </c>
      <c r="B5" s="62"/>
      <c r="C5" s="62"/>
      <c r="D5" s="62"/>
      <c r="E5" s="62"/>
      <c r="F5" s="62"/>
      <c r="G5" s="86">
        <f>SUM(G6:G11)</f>
        <v>106.97</v>
      </c>
      <c r="H5" s="86">
        <f>SUM(H6:H11)</f>
        <v>0</v>
      </c>
      <c r="I5" s="86">
        <f>SUM(I6:I11)</f>
        <v>1</v>
      </c>
      <c r="J5" s="87"/>
      <c r="K5" s="87"/>
      <c r="L5" s="88">
        <f>MAX(L6:L11)</f>
        <v>187</v>
      </c>
      <c r="M5" s="86">
        <f>SUM(M6:M11)</f>
        <v>19195.660000000003</v>
      </c>
      <c r="N5" s="87"/>
      <c r="O5" s="87"/>
      <c r="P5" s="86">
        <f>SUM(P6:P11)</f>
        <v>0</v>
      </c>
      <c r="Q5" s="86">
        <f>SUM(Q6:Q11)</f>
        <v>0</v>
      </c>
      <c r="R5" s="86">
        <f>P5/L5</f>
        <v>0</v>
      </c>
      <c r="S5" s="86">
        <f t="shared" ref="S5:S11" si="0">ROUND(IF(Q5=0,0,Q5/L5),2)</f>
        <v>0</v>
      </c>
    </row>
    <row r="6" spans="1:19" x14ac:dyDescent="0.25">
      <c r="A6" s="62">
        <v>1</v>
      </c>
      <c r="B6" s="93">
        <v>1</v>
      </c>
      <c r="C6" s="89" t="s">
        <v>196</v>
      </c>
      <c r="D6" s="89" t="s">
        <v>372</v>
      </c>
      <c r="E6" s="62" t="s">
        <v>373</v>
      </c>
      <c r="F6" s="62" t="s">
        <v>200</v>
      </c>
      <c r="G6" s="87">
        <v>42.03</v>
      </c>
      <c r="H6" s="87"/>
      <c r="I6" s="87">
        <v>1</v>
      </c>
      <c r="J6" s="89" t="s">
        <v>168</v>
      </c>
      <c r="K6" s="90">
        <v>5</v>
      </c>
      <c r="L6" s="87">
        <f>VLOOKUP(K6,Reinigungstage!A10:F31,6,FALSE)</f>
        <v>187</v>
      </c>
      <c r="M6" s="87">
        <f t="shared" ref="M6:M11" si="1">ROUND(IF(L6=0,0,L6*G6),2)</f>
        <v>7859.61</v>
      </c>
      <c r="N6" s="91">
        <f>VLOOKUP(J6,'Lei Unter GTA OS Nossen'!A6:B11,2,0)</f>
        <v>0</v>
      </c>
      <c r="O6" s="92" t="str">
        <f ca="1">'SVS UnterhaltsRG'!H61</f>
        <v/>
      </c>
      <c r="P6" s="87">
        <f t="shared" ref="P6:P11" si="2">ROUND(IF(N6=0,0,M6/N6),2)</f>
        <v>0</v>
      </c>
      <c r="Q6" s="87">
        <f t="shared" ref="Q6:Q11" si="3">ROUND(IF(P6=0,0,P6*O6),2)</f>
        <v>0</v>
      </c>
      <c r="R6" s="87">
        <f t="shared" ref="R6:R11" si="4">ROUND(IF(P6=0,0,P6/L6),2)</f>
        <v>0</v>
      </c>
      <c r="S6" s="87">
        <f t="shared" si="0"/>
        <v>0</v>
      </c>
    </row>
    <row r="7" spans="1:19" x14ac:dyDescent="0.25">
      <c r="A7" s="62">
        <v>2</v>
      </c>
      <c r="B7" s="93">
        <v>2</v>
      </c>
      <c r="C7" s="89" t="s">
        <v>196</v>
      </c>
      <c r="D7" s="89" t="s">
        <v>372</v>
      </c>
      <c r="E7" s="62" t="s">
        <v>374</v>
      </c>
      <c r="F7" s="62" t="s">
        <v>200</v>
      </c>
      <c r="G7" s="87">
        <v>48.72</v>
      </c>
      <c r="H7" s="87"/>
      <c r="I7" s="87"/>
      <c r="J7" s="89" t="s">
        <v>168</v>
      </c>
      <c r="K7" s="90">
        <v>5</v>
      </c>
      <c r="L7" s="87">
        <f>VLOOKUP(K7,Reinigungstage!A6:F31,6,FALSE)</f>
        <v>187</v>
      </c>
      <c r="M7" s="87">
        <f t="shared" si="1"/>
        <v>9110.64</v>
      </c>
      <c r="N7" s="91">
        <f>VLOOKUP(J7,'Lei Unter GTA OS Nossen'!A6:B11,2,0)</f>
        <v>0</v>
      </c>
      <c r="O7" s="92" t="str">
        <f ca="1">'SVS UnterhaltsRG'!H61</f>
        <v/>
      </c>
      <c r="P7" s="87">
        <f t="shared" si="2"/>
        <v>0</v>
      </c>
      <c r="Q7" s="87">
        <f t="shared" si="3"/>
        <v>0</v>
      </c>
      <c r="R7" s="87">
        <f t="shared" si="4"/>
        <v>0</v>
      </c>
      <c r="S7" s="87">
        <f t="shared" si="0"/>
        <v>0</v>
      </c>
    </row>
    <row r="8" spans="1:19" x14ac:dyDescent="0.25">
      <c r="A8" s="62">
        <v>3</v>
      </c>
      <c r="B8" s="93">
        <v>3</v>
      </c>
      <c r="C8" s="89" t="s">
        <v>196</v>
      </c>
      <c r="D8" s="89" t="s">
        <v>372</v>
      </c>
      <c r="E8" s="62" t="s">
        <v>375</v>
      </c>
      <c r="F8" s="62" t="s">
        <v>200</v>
      </c>
      <c r="G8" s="106">
        <v>2.54</v>
      </c>
      <c r="H8" s="87"/>
      <c r="I8" s="87"/>
      <c r="J8" s="89" t="s">
        <v>169</v>
      </c>
      <c r="K8" s="90">
        <v>5</v>
      </c>
      <c r="L8" s="87">
        <f>VLOOKUP(K8,Reinigungstage!A6:F31,6,FALSE)</f>
        <v>187</v>
      </c>
      <c r="M8" s="87">
        <f t="shared" si="1"/>
        <v>474.98</v>
      </c>
      <c r="N8" s="91">
        <f>VLOOKUP(J8,'Lei Unter GTA OS Nossen'!A6:B11,2,0)</f>
        <v>0</v>
      </c>
      <c r="O8" s="92" t="str">
        <f ca="1">'SVS UnterhaltsRG'!H61</f>
        <v/>
      </c>
      <c r="P8" s="87">
        <f t="shared" si="2"/>
        <v>0</v>
      </c>
      <c r="Q8" s="87">
        <f t="shared" si="3"/>
        <v>0</v>
      </c>
      <c r="R8" s="87">
        <f t="shared" si="4"/>
        <v>0</v>
      </c>
      <c r="S8" s="87">
        <f t="shared" si="0"/>
        <v>0</v>
      </c>
    </row>
    <row r="9" spans="1:19" x14ac:dyDescent="0.25">
      <c r="A9" s="62">
        <v>4</v>
      </c>
      <c r="B9" s="93">
        <v>4</v>
      </c>
      <c r="C9" s="89" t="s">
        <v>196</v>
      </c>
      <c r="D9" s="89" t="s">
        <v>372</v>
      </c>
      <c r="E9" s="62" t="s">
        <v>376</v>
      </c>
      <c r="F9" s="62" t="s">
        <v>200</v>
      </c>
      <c r="G9" s="106">
        <v>2.02</v>
      </c>
      <c r="H9" s="87"/>
      <c r="I9" s="87"/>
      <c r="J9" s="89" t="s">
        <v>174</v>
      </c>
      <c r="K9" s="90">
        <v>5</v>
      </c>
      <c r="L9" s="87">
        <f>VLOOKUP(K9,Reinigungstage!A6:F31,6,FALSE)</f>
        <v>187</v>
      </c>
      <c r="M9" s="87">
        <f t="shared" si="1"/>
        <v>377.74</v>
      </c>
      <c r="N9" s="91">
        <f>VLOOKUP(J9,'Lei Unter GTA OS Nossen'!A6:B11,2,0)</f>
        <v>0</v>
      </c>
      <c r="O9" s="92" t="str">
        <f ca="1">'SVS UnterhaltsRG'!H61</f>
        <v/>
      </c>
      <c r="P9" s="87">
        <f t="shared" si="2"/>
        <v>0</v>
      </c>
      <c r="Q9" s="87">
        <f t="shared" si="3"/>
        <v>0</v>
      </c>
      <c r="R9" s="87">
        <f t="shared" si="4"/>
        <v>0</v>
      </c>
      <c r="S9" s="87">
        <f t="shared" si="0"/>
        <v>0</v>
      </c>
    </row>
    <row r="10" spans="1:19" x14ac:dyDescent="0.25">
      <c r="A10" s="62">
        <v>5</v>
      </c>
      <c r="B10" s="93">
        <v>5</v>
      </c>
      <c r="C10" s="89" t="s">
        <v>196</v>
      </c>
      <c r="D10" s="89" t="s">
        <v>372</v>
      </c>
      <c r="E10" s="62" t="s">
        <v>377</v>
      </c>
      <c r="F10" s="62" t="s">
        <v>200</v>
      </c>
      <c r="G10" s="106">
        <v>4.2699999999999996</v>
      </c>
      <c r="H10" s="87"/>
      <c r="I10" s="87"/>
      <c r="J10" s="89" t="s">
        <v>169</v>
      </c>
      <c r="K10" s="90">
        <v>5</v>
      </c>
      <c r="L10" s="87">
        <f>VLOOKUP(K10,Reinigungstage!A6:F31,6,FALSE)</f>
        <v>187</v>
      </c>
      <c r="M10" s="87">
        <f t="shared" si="1"/>
        <v>798.49</v>
      </c>
      <c r="N10" s="91">
        <f>VLOOKUP(J10,'Lei Unter GTA OS Nossen'!A6:B11,2,0)</f>
        <v>0</v>
      </c>
      <c r="O10" s="92" t="str">
        <f ca="1">'SVS UnterhaltsRG'!H61</f>
        <v/>
      </c>
      <c r="P10" s="87">
        <f t="shared" si="2"/>
        <v>0</v>
      </c>
      <c r="Q10" s="87">
        <f t="shared" si="3"/>
        <v>0</v>
      </c>
      <c r="R10" s="87">
        <f t="shared" si="4"/>
        <v>0</v>
      </c>
      <c r="S10" s="87">
        <f t="shared" si="0"/>
        <v>0</v>
      </c>
    </row>
    <row r="11" spans="1:19" x14ac:dyDescent="0.25">
      <c r="A11" s="62">
        <v>6</v>
      </c>
      <c r="B11" s="93">
        <v>6</v>
      </c>
      <c r="C11" s="89" t="s">
        <v>196</v>
      </c>
      <c r="D11" s="89" t="s">
        <v>372</v>
      </c>
      <c r="E11" s="62" t="s">
        <v>378</v>
      </c>
      <c r="F11" s="62" t="s">
        <v>200</v>
      </c>
      <c r="G11" s="106">
        <v>7.39</v>
      </c>
      <c r="H11" s="87"/>
      <c r="I11" s="87"/>
      <c r="J11" s="89" t="s">
        <v>170</v>
      </c>
      <c r="K11" s="90">
        <v>2</v>
      </c>
      <c r="L11" s="87">
        <f>VLOOKUP(K11,Reinigungstage!A6:F31,6,FALSE)</f>
        <v>77.7</v>
      </c>
      <c r="M11" s="87">
        <f t="shared" si="1"/>
        <v>574.20000000000005</v>
      </c>
      <c r="N11" s="91">
        <f>VLOOKUP(J11,'Lei Unter GTA OS Nossen'!A6:B11,2,0)</f>
        <v>0</v>
      </c>
      <c r="O11" s="92" t="str">
        <f ca="1">'SVS UnterhaltsRG'!H61</f>
        <v/>
      </c>
      <c r="P11" s="87">
        <f t="shared" si="2"/>
        <v>0</v>
      </c>
      <c r="Q11" s="87">
        <f t="shared" si="3"/>
        <v>0</v>
      </c>
      <c r="R11" s="87">
        <f t="shared" si="4"/>
        <v>0</v>
      </c>
      <c r="S11" s="87">
        <f t="shared" si="0"/>
        <v>0</v>
      </c>
    </row>
  </sheetData>
  <sheetProtection algorithmName="SHA-512" hashValue="Q4DXI09mynb2zug9IZG9pbCtinxxocdKwXwYXjRHWyUQCKDZyY18UYDQJFV5gytCHtpJnnds5h0UD8MhOXRJIw==" saltValue="Ghf/VJ4VLX8R5EY1LUlbsw==" spinCount="100000" sheet="1" objects="1" scenarios="1" formatCells="0" formatColumns="0" formatRows="0" insertColumns="0" insertRows="0" insertHyperlinks="0" deleteColumns="0" deleteRows="0"/>
  <phoneticPr fontId="20" type="noConversion"/>
  <hyperlinks>
    <hyperlink ref="M1" location="Inhaltsverzeichnis!A1" display="Zurück zum Inhaltsverzeichnis" xr:uid="{C278FA21-C44D-4FB0-825A-2C23C8EB5567}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F116-1791-41DB-9F83-C3E682243F1F}">
  <dimension ref="A1:H11"/>
  <sheetViews>
    <sheetView workbookViewId="0">
      <selection activeCell="C6" sqref="C6:C11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161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162</v>
      </c>
      <c r="B3" s="76" t="s">
        <v>413</v>
      </c>
      <c r="C3" s="76"/>
      <c r="D3" s="14"/>
      <c r="E3" s="14"/>
      <c r="F3" s="14"/>
      <c r="G3" s="14"/>
      <c r="H3" s="14"/>
    </row>
    <row r="4" spans="1:8" ht="51" customHeight="1" x14ac:dyDescent="0.25">
      <c r="A4" s="130" t="s">
        <v>163</v>
      </c>
      <c r="B4" s="130"/>
      <c r="C4" s="130"/>
      <c r="D4" s="14"/>
      <c r="E4" s="14"/>
      <c r="F4" s="14"/>
      <c r="G4" s="14"/>
      <c r="H4" s="14"/>
    </row>
    <row r="5" spans="1:8" x14ac:dyDescent="0.25">
      <c r="A5" s="77" t="s">
        <v>164</v>
      </c>
      <c r="B5" s="77" t="s">
        <v>165</v>
      </c>
      <c r="C5" s="77" t="s">
        <v>166</v>
      </c>
      <c r="D5" s="14"/>
      <c r="E5" s="14"/>
      <c r="F5" s="14"/>
      <c r="G5" s="14"/>
      <c r="H5" s="14"/>
    </row>
    <row r="6" spans="1:8" x14ac:dyDescent="0.25">
      <c r="A6" s="81" t="s">
        <v>170</v>
      </c>
      <c r="B6" s="79"/>
      <c r="C6" s="80">
        <f ca="1">SUMIF('Kal Unter TH OS Nossen (Ferien)'!$J$6:$M$65,A6,'Kal Unter TH OS Nossen (Ferien)'!$M$6:$M$65)</f>
        <v>181.3</v>
      </c>
      <c r="D6" s="14"/>
      <c r="E6" s="14"/>
      <c r="F6" s="14"/>
      <c r="G6" s="14"/>
      <c r="H6" s="14"/>
    </row>
    <row r="7" spans="1:8" x14ac:dyDescent="0.25">
      <c r="A7" s="81" t="s">
        <v>174</v>
      </c>
      <c r="B7" s="79"/>
      <c r="C7" s="80">
        <f ca="1">SUMIF('Kal Unter TH OS Nossen (Ferien)'!$J$6:$M$65,A7,'Kal Unter TH OS Nossen (Ferien)'!$M$6:$M$65)</f>
        <v>1214.23</v>
      </c>
      <c r="D7" s="14"/>
      <c r="E7" s="14"/>
      <c r="F7" s="14"/>
      <c r="G7" s="14"/>
      <c r="H7" s="14"/>
    </row>
    <row r="8" spans="1:8" x14ac:dyDescent="0.25">
      <c r="A8" s="81" t="s">
        <v>168</v>
      </c>
      <c r="B8" s="79"/>
      <c r="C8" s="80">
        <f ca="1">SUMIF('Kal Unter TH OS Nossen (Ferien)'!$J$6:$M$65,A8,'Kal Unter TH OS Nossen (Ferien)'!$M$6:$M$65)</f>
        <v>98.57</v>
      </c>
      <c r="D8" s="14"/>
      <c r="E8" s="14"/>
      <c r="F8" s="14"/>
      <c r="G8" s="14"/>
      <c r="H8" s="14"/>
    </row>
    <row r="9" spans="1:8" x14ac:dyDescent="0.25">
      <c r="A9" s="81" t="s">
        <v>169</v>
      </c>
      <c r="B9" s="79"/>
      <c r="C9" s="80">
        <f ca="1">SUMIF('Kal Unter TH OS Nossen (Ferien)'!$J$6:$M$65,A9,'Kal Unter TH OS Nossen (Ferien)'!$M$6:$M$65)</f>
        <v>884.87999999999988</v>
      </c>
      <c r="D9" s="14"/>
      <c r="E9" s="14"/>
      <c r="F9" s="14"/>
      <c r="G9" s="14"/>
      <c r="H9" s="14"/>
    </row>
    <row r="10" spans="1:8" x14ac:dyDescent="0.25">
      <c r="A10" s="81" t="s">
        <v>172</v>
      </c>
      <c r="B10" s="79"/>
      <c r="C10" s="80">
        <f ca="1">SUMIF('Kal Unter TH OS Nossen (Ferien)'!$J$6:$M$65,A10,'Kal Unter TH OS Nossen (Ferien)'!$M$6:$M$65)</f>
        <v>1218.8000000000002</v>
      </c>
    </row>
    <row r="11" spans="1:8" x14ac:dyDescent="0.25">
      <c r="A11" s="81" t="s">
        <v>409</v>
      </c>
      <c r="B11" s="79"/>
      <c r="C11" s="80">
        <f ca="1">SUMIF('Kal Unter TH OS Nossen (Ferien)'!$J$6:$M$65,A11,'Kal Unter TH OS Nossen (Ferien)'!$M$6:$M$65)</f>
        <v>12671.12</v>
      </c>
    </row>
  </sheetData>
  <sheetProtection algorithmName="SHA-512" hashValue="o96c6y+ARCIH8r7XW3j5G3U5p3s8YCrvZug+GQutwlA26hSUDH1+/fZzakXex74AK23vn5APaEZiyAk7kTSw7w==" saltValue="Rm26400uKLTfPjbn9wva3Q==" spinCount="100000" sheet="1" objects="1" scenarios="1" formatCells="0" formatColumns="0" formatRows="0" insertColumns="0" insertRows="0" insertHyperlinks="0" deleteColumns="0" deleteRows="0"/>
  <protectedRanges>
    <protectedRange sqref="B6:B11" name="Bereich1"/>
  </protectedRanges>
  <mergeCells count="1">
    <mergeCell ref="A4:C4"/>
  </mergeCells>
  <hyperlinks>
    <hyperlink ref="C1" location="Inhaltsverzeichnis!A1" display="Zurück zum Inhaltsverzeichnis" xr:uid="{677FE154-5D28-4D16-B246-F0C4FF99CA6B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E50D3-BBB2-4284-AF33-26E5DBEABB37}">
  <dimension ref="A1:S39"/>
  <sheetViews>
    <sheetView workbookViewId="0">
      <selection activeCell="U8" sqref="U8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162</v>
      </c>
      <c r="B3" s="14" t="s">
        <v>413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177</v>
      </c>
      <c r="B4" s="77" t="s">
        <v>178</v>
      </c>
      <c r="C4" s="84" t="s">
        <v>179</v>
      </c>
      <c r="D4" s="84" t="s">
        <v>180</v>
      </c>
      <c r="E4" s="77" t="s">
        <v>181</v>
      </c>
      <c r="F4" s="84" t="s">
        <v>182</v>
      </c>
      <c r="G4" s="77" t="s">
        <v>183</v>
      </c>
      <c r="H4" s="77" t="s">
        <v>184</v>
      </c>
      <c r="I4" s="77" t="s">
        <v>185</v>
      </c>
      <c r="J4" s="77" t="s">
        <v>186</v>
      </c>
      <c r="K4" s="77" t="s">
        <v>187</v>
      </c>
      <c r="L4" s="77" t="s">
        <v>222</v>
      </c>
      <c r="M4" s="77" t="s">
        <v>188</v>
      </c>
      <c r="N4" s="77" t="s">
        <v>189</v>
      </c>
      <c r="O4" s="77" t="s">
        <v>190</v>
      </c>
      <c r="P4" s="77" t="s">
        <v>191</v>
      </c>
      <c r="Q4" s="77" t="s">
        <v>192</v>
      </c>
      <c r="R4" s="77" t="s">
        <v>193</v>
      </c>
      <c r="S4" s="77" t="s">
        <v>194</v>
      </c>
    </row>
    <row r="5" spans="1:19" x14ac:dyDescent="0.25">
      <c r="A5" s="85" t="s">
        <v>195</v>
      </c>
      <c r="B5" s="62"/>
      <c r="C5" s="62"/>
      <c r="D5" s="62"/>
      <c r="E5" s="62"/>
      <c r="F5" s="62"/>
      <c r="G5" s="86">
        <f>SUM(G6:G39)</f>
        <v>1364.29</v>
      </c>
      <c r="H5" s="86">
        <f t="shared" ref="H5:I5" si="0">SUM(H6:H39)</f>
        <v>0</v>
      </c>
      <c r="I5" s="86">
        <f t="shared" si="0"/>
        <v>2</v>
      </c>
      <c r="J5" s="87"/>
      <c r="K5" s="87"/>
      <c r="L5" s="88">
        <f>MAX(L6:L14)</f>
        <v>13.09</v>
      </c>
      <c r="M5" s="86">
        <f>SUM(M6:M39)</f>
        <v>16268.9</v>
      </c>
      <c r="N5" s="87"/>
      <c r="O5" s="87"/>
      <c r="P5" s="86">
        <f>SUM(P6:P39)</f>
        <v>0</v>
      </c>
      <c r="Q5" s="86">
        <f t="shared" ref="Q5:S5" si="1">SUM(Q6:Q39)</f>
        <v>0</v>
      </c>
      <c r="R5" s="86">
        <f t="shared" si="1"/>
        <v>0</v>
      </c>
      <c r="S5" s="86">
        <f t="shared" si="1"/>
        <v>0</v>
      </c>
    </row>
    <row r="6" spans="1:19" x14ac:dyDescent="0.25">
      <c r="A6" s="62">
        <v>1</v>
      </c>
      <c r="B6" s="89" t="s">
        <v>261</v>
      </c>
      <c r="C6" s="89" t="s">
        <v>196</v>
      </c>
      <c r="D6" s="89" t="s">
        <v>226</v>
      </c>
      <c r="E6" s="62" t="s">
        <v>330</v>
      </c>
      <c r="F6" s="62" t="s">
        <v>200</v>
      </c>
      <c r="G6" s="87">
        <v>19.13</v>
      </c>
      <c r="H6" s="87"/>
      <c r="I6" s="87"/>
      <c r="J6" s="89" t="s">
        <v>172</v>
      </c>
      <c r="K6" s="90">
        <v>1</v>
      </c>
      <c r="L6" s="87">
        <f>VLOOKUP(K6,Reinigungstage!$A$10:$E$31,5,FALSE)</f>
        <v>13.09</v>
      </c>
      <c r="M6" s="87">
        <f t="shared" ref="M6:M14" si="2">ROUND(IF(L6=0,0,L6*G6),2)</f>
        <v>250.41</v>
      </c>
      <c r="N6" s="91">
        <f>VLOOKUP(J6,'Lei Unter TH OS Nossen (Ferien)'!$A$6:$B$13,2,0)</f>
        <v>0</v>
      </c>
      <c r="O6" s="92" t="str">
        <f ca="1">'SVS UnterhaltsRG'!$H$61</f>
        <v/>
      </c>
      <c r="P6" s="87">
        <f t="shared" ref="P6:P14" si="3">ROUND(IF(N6=0,0,M6/N6),2)</f>
        <v>0</v>
      </c>
      <c r="Q6" s="87">
        <f t="shared" ref="Q6:Q14" si="4">ROUND(IF(P6=0,0,P6*O6),2)</f>
        <v>0</v>
      </c>
      <c r="R6" s="87">
        <f t="shared" ref="R6:R14" si="5">ROUND(IF(P6=0,0,P6/L6),2)</f>
        <v>0</v>
      </c>
      <c r="S6" s="87">
        <f t="shared" ref="S6:S14" si="6">ROUND(IF(Q6=0,0,Q6/L6),2)</f>
        <v>0</v>
      </c>
    </row>
    <row r="7" spans="1:19" x14ac:dyDescent="0.25">
      <c r="A7" s="62">
        <v>2</v>
      </c>
      <c r="B7" s="89" t="s">
        <v>260</v>
      </c>
      <c r="C7" s="89" t="s">
        <v>196</v>
      </c>
      <c r="D7" s="89" t="s">
        <v>226</v>
      </c>
      <c r="E7" s="62" t="s">
        <v>331</v>
      </c>
      <c r="F7" s="62" t="s">
        <v>200</v>
      </c>
      <c r="G7" s="87">
        <v>10.27</v>
      </c>
      <c r="H7" s="87"/>
      <c r="I7" s="87"/>
      <c r="J7" s="89" t="s">
        <v>169</v>
      </c>
      <c r="K7" s="90">
        <v>1</v>
      </c>
      <c r="L7" s="87">
        <f>VLOOKUP(K7,Reinigungstage!$A$10:$E$31,5,FALSE)</f>
        <v>13.09</v>
      </c>
      <c r="M7" s="87">
        <f t="shared" si="2"/>
        <v>134.43</v>
      </c>
      <c r="N7" s="91">
        <f>VLOOKUP(J7,'Lei Unter TH OS Nossen (Ferien)'!$A$6:$B$13,2,0)</f>
        <v>0</v>
      </c>
      <c r="O7" s="92" t="str">
        <f ca="1">'SVS UnterhaltsRG'!$H$61</f>
        <v/>
      </c>
      <c r="P7" s="87">
        <f t="shared" si="3"/>
        <v>0</v>
      </c>
      <c r="Q7" s="87">
        <f t="shared" si="4"/>
        <v>0</v>
      </c>
      <c r="R7" s="87">
        <f t="shared" si="5"/>
        <v>0</v>
      </c>
      <c r="S7" s="87">
        <f t="shared" si="6"/>
        <v>0</v>
      </c>
    </row>
    <row r="8" spans="1:19" x14ac:dyDescent="0.25">
      <c r="A8" s="62">
        <v>3</v>
      </c>
      <c r="B8" s="89" t="s">
        <v>363</v>
      </c>
      <c r="C8" s="89" t="s">
        <v>196</v>
      </c>
      <c r="D8" s="89" t="s">
        <v>226</v>
      </c>
      <c r="E8" s="62" t="s">
        <v>332</v>
      </c>
      <c r="F8" s="62" t="s">
        <v>200</v>
      </c>
      <c r="G8" s="106">
        <v>1.55</v>
      </c>
      <c r="H8" s="87"/>
      <c r="I8" s="87"/>
      <c r="J8" s="89" t="s">
        <v>169</v>
      </c>
      <c r="K8" s="90">
        <v>1</v>
      </c>
      <c r="L8" s="87">
        <f>VLOOKUP(K8,Reinigungstage!$A$10:$E$31,5,FALSE)</f>
        <v>13.09</v>
      </c>
      <c r="M8" s="87">
        <f t="shared" si="2"/>
        <v>20.29</v>
      </c>
      <c r="N8" s="91">
        <f>VLOOKUP(J8,'Lei Unter TH OS Nossen (Ferien)'!$A$6:$B$13,2,0)</f>
        <v>0</v>
      </c>
      <c r="O8" s="92" t="str">
        <f ca="1">'SVS UnterhaltsRG'!$H$61</f>
        <v/>
      </c>
      <c r="P8" s="87">
        <f t="shared" si="3"/>
        <v>0</v>
      </c>
      <c r="Q8" s="87">
        <f t="shared" si="4"/>
        <v>0</v>
      </c>
      <c r="R8" s="87">
        <f t="shared" si="5"/>
        <v>0</v>
      </c>
      <c r="S8" s="87">
        <f t="shared" si="6"/>
        <v>0</v>
      </c>
    </row>
    <row r="9" spans="1:19" x14ac:dyDescent="0.25">
      <c r="A9" s="62">
        <v>4</v>
      </c>
      <c r="B9" s="89" t="s">
        <v>259</v>
      </c>
      <c r="C9" s="89" t="s">
        <v>196</v>
      </c>
      <c r="D9" s="89" t="s">
        <v>226</v>
      </c>
      <c r="E9" s="62" t="s">
        <v>333</v>
      </c>
      <c r="F9" s="62" t="s">
        <v>200</v>
      </c>
      <c r="G9" s="106">
        <v>1.55</v>
      </c>
      <c r="H9" s="87"/>
      <c r="I9" s="87"/>
      <c r="J9" s="89" t="s">
        <v>169</v>
      </c>
      <c r="K9" s="90">
        <v>1</v>
      </c>
      <c r="L9" s="87">
        <f>VLOOKUP(K9,Reinigungstage!$A$10:$E$31,5,FALSE)</f>
        <v>13.09</v>
      </c>
      <c r="M9" s="87">
        <f t="shared" si="2"/>
        <v>20.29</v>
      </c>
      <c r="N9" s="91">
        <f>VLOOKUP(J9,'Lei Unter TH OS Nossen (Ferien)'!$A$6:$B$13,2,0)</f>
        <v>0</v>
      </c>
      <c r="O9" s="92" t="str">
        <f ca="1">'SVS UnterhaltsRG'!$H$61</f>
        <v/>
      </c>
      <c r="P9" s="87">
        <f t="shared" si="3"/>
        <v>0</v>
      </c>
      <c r="Q9" s="87">
        <f t="shared" si="4"/>
        <v>0</v>
      </c>
      <c r="R9" s="87">
        <f t="shared" si="5"/>
        <v>0</v>
      </c>
      <c r="S9" s="87">
        <f t="shared" si="6"/>
        <v>0</v>
      </c>
    </row>
    <row r="10" spans="1:19" x14ac:dyDescent="0.25">
      <c r="A10" s="62">
        <v>5</v>
      </c>
      <c r="B10" s="89" t="s">
        <v>366</v>
      </c>
      <c r="C10" s="89" t="s">
        <v>196</v>
      </c>
      <c r="D10" s="89" t="s">
        <v>226</v>
      </c>
      <c r="E10" s="62" t="s">
        <v>334</v>
      </c>
      <c r="F10" s="62" t="s">
        <v>200</v>
      </c>
      <c r="G10" s="106">
        <v>9.92</v>
      </c>
      <c r="H10" s="87"/>
      <c r="I10" s="87"/>
      <c r="J10" s="89" t="s">
        <v>169</v>
      </c>
      <c r="K10" s="90">
        <v>1</v>
      </c>
      <c r="L10" s="87">
        <f>VLOOKUP(K10,Reinigungstage!$A$10:$E$31,5,FALSE)</f>
        <v>13.09</v>
      </c>
      <c r="M10" s="87">
        <f t="shared" si="2"/>
        <v>129.85</v>
      </c>
      <c r="N10" s="91">
        <f>VLOOKUP(J10,'Lei Unter TH OS Nossen (Ferien)'!$A$6:$B$13,2,0)</f>
        <v>0</v>
      </c>
      <c r="O10" s="92" t="str">
        <f ca="1">'SVS UnterhaltsRG'!$H$61</f>
        <v/>
      </c>
      <c r="P10" s="87">
        <f t="shared" si="3"/>
        <v>0</v>
      </c>
      <c r="Q10" s="87">
        <f t="shared" si="4"/>
        <v>0</v>
      </c>
      <c r="R10" s="87">
        <f t="shared" si="5"/>
        <v>0</v>
      </c>
      <c r="S10" s="87">
        <f t="shared" si="6"/>
        <v>0</v>
      </c>
    </row>
    <row r="11" spans="1:19" x14ac:dyDescent="0.25">
      <c r="A11" s="62">
        <v>6</v>
      </c>
      <c r="B11" s="89" t="s">
        <v>365</v>
      </c>
      <c r="C11" s="89" t="s">
        <v>196</v>
      </c>
      <c r="D11" s="89" t="s">
        <v>226</v>
      </c>
      <c r="E11" s="62" t="s">
        <v>335</v>
      </c>
      <c r="F11" s="62" t="s">
        <v>200</v>
      </c>
      <c r="G11" s="106">
        <v>1.55</v>
      </c>
      <c r="H11" s="87"/>
      <c r="I11" s="87"/>
      <c r="J11" s="89" t="s">
        <v>169</v>
      </c>
      <c r="K11" s="90">
        <v>1</v>
      </c>
      <c r="L11" s="87">
        <f>VLOOKUP(K11,Reinigungstage!$A$10:$E$31,5,FALSE)</f>
        <v>13.09</v>
      </c>
      <c r="M11" s="87">
        <f t="shared" si="2"/>
        <v>20.29</v>
      </c>
      <c r="N11" s="91">
        <f>VLOOKUP(J11,'Lei Unter TH OS Nossen (Ferien)'!$A$6:$B$13,2,0)</f>
        <v>0</v>
      </c>
      <c r="O11" s="92" t="str">
        <f ca="1">'SVS UnterhaltsRG'!$H$61</f>
        <v/>
      </c>
      <c r="P11" s="87">
        <f t="shared" si="3"/>
        <v>0</v>
      </c>
      <c r="Q11" s="87">
        <f t="shared" si="4"/>
        <v>0</v>
      </c>
      <c r="R11" s="87">
        <f t="shared" si="5"/>
        <v>0</v>
      </c>
      <c r="S11" s="87">
        <f t="shared" si="6"/>
        <v>0</v>
      </c>
    </row>
    <row r="12" spans="1:19" x14ac:dyDescent="0.25">
      <c r="A12" s="62">
        <v>7</v>
      </c>
      <c r="B12" s="89" t="s">
        <v>364</v>
      </c>
      <c r="C12" s="89" t="s">
        <v>196</v>
      </c>
      <c r="D12" s="89" t="s">
        <v>226</v>
      </c>
      <c r="E12" s="62" t="s">
        <v>336</v>
      </c>
      <c r="F12" s="62" t="s">
        <v>200</v>
      </c>
      <c r="G12" s="109">
        <v>1.55</v>
      </c>
      <c r="H12" s="87"/>
      <c r="I12" s="87"/>
      <c r="J12" s="89" t="s">
        <v>169</v>
      </c>
      <c r="K12" s="90">
        <v>1</v>
      </c>
      <c r="L12" s="87">
        <f>VLOOKUP(K12,Reinigungstage!$A$10:$E$31,5,FALSE)</f>
        <v>13.09</v>
      </c>
      <c r="M12" s="87">
        <f t="shared" si="2"/>
        <v>20.29</v>
      </c>
      <c r="N12" s="91">
        <f>VLOOKUP(J12,'Lei Unter TH OS Nossen (Ferien)'!$A$6:$B$13,2,0)</f>
        <v>0</v>
      </c>
      <c r="O12" s="92" t="str">
        <f ca="1">'SVS UnterhaltsRG'!$H$61</f>
        <v/>
      </c>
      <c r="P12" s="87">
        <f t="shared" si="3"/>
        <v>0</v>
      </c>
      <c r="Q12" s="87">
        <f t="shared" si="4"/>
        <v>0</v>
      </c>
      <c r="R12" s="87">
        <f t="shared" si="5"/>
        <v>0</v>
      </c>
      <c r="S12" s="87">
        <f t="shared" si="6"/>
        <v>0</v>
      </c>
    </row>
    <row r="13" spans="1:19" x14ac:dyDescent="0.25">
      <c r="A13" s="62">
        <v>8</v>
      </c>
      <c r="B13" s="89" t="s">
        <v>258</v>
      </c>
      <c r="C13" s="89" t="s">
        <v>196</v>
      </c>
      <c r="D13" s="89" t="s">
        <v>226</v>
      </c>
      <c r="E13" s="62" t="s">
        <v>337</v>
      </c>
      <c r="F13" s="62" t="s">
        <v>200</v>
      </c>
      <c r="G13" s="106">
        <v>20.010000000000002</v>
      </c>
      <c r="H13" s="87"/>
      <c r="I13" s="87"/>
      <c r="J13" s="89" t="s">
        <v>172</v>
      </c>
      <c r="K13" s="90">
        <v>1</v>
      </c>
      <c r="L13" s="87">
        <f>VLOOKUP(K13,Reinigungstage!$A$10:$E$31,5,FALSE)</f>
        <v>13.09</v>
      </c>
      <c r="M13" s="87">
        <f t="shared" si="2"/>
        <v>261.93</v>
      </c>
      <c r="N13" s="91">
        <f>VLOOKUP(J13,'Lei Unter TH OS Nossen (Ferien)'!$A$6:$B$13,2,0)</f>
        <v>0</v>
      </c>
      <c r="O13" s="92" t="str">
        <f ca="1">'SVS UnterhaltsRG'!$H$61</f>
        <v/>
      </c>
      <c r="P13" s="87">
        <f t="shared" si="3"/>
        <v>0</v>
      </c>
      <c r="Q13" s="87">
        <f t="shared" si="4"/>
        <v>0</v>
      </c>
      <c r="R13" s="87">
        <f t="shared" si="5"/>
        <v>0</v>
      </c>
      <c r="S13" s="87">
        <f t="shared" si="6"/>
        <v>0</v>
      </c>
    </row>
    <row r="14" spans="1:19" x14ac:dyDescent="0.25">
      <c r="A14" s="62">
        <v>9</v>
      </c>
      <c r="B14" s="89" t="s">
        <v>257</v>
      </c>
      <c r="C14" s="89" t="s">
        <v>196</v>
      </c>
      <c r="D14" s="89" t="s">
        <v>226</v>
      </c>
      <c r="E14" s="62" t="s">
        <v>338</v>
      </c>
      <c r="F14" s="62" t="s">
        <v>200</v>
      </c>
      <c r="G14" s="106">
        <v>9.8699999999999992</v>
      </c>
      <c r="H14" s="87"/>
      <c r="I14" s="87"/>
      <c r="J14" s="89" t="s">
        <v>170</v>
      </c>
      <c r="K14" s="90">
        <v>0</v>
      </c>
      <c r="L14" s="87">
        <f>VLOOKUP(K14,Reinigungstage!$A$10:$E$31,5,FALSE)</f>
        <v>0</v>
      </c>
      <c r="M14" s="87">
        <f t="shared" si="2"/>
        <v>0</v>
      </c>
      <c r="N14" s="91">
        <f>VLOOKUP(J14,'Lei Unter TH OS Nossen (Ferien)'!$A$6:$B$13,2,0)</f>
        <v>0</v>
      </c>
      <c r="O14" s="92" t="str">
        <f ca="1">'SVS UnterhaltsRG'!$H$61</f>
        <v/>
      </c>
      <c r="P14" s="87">
        <f t="shared" si="3"/>
        <v>0</v>
      </c>
      <c r="Q14" s="87">
        <f t="shared" si="4"/>
        <v>0</v>
      </c>
      <c r="R14" s="87">
        <f t="shared" si="5"/>
        <v>0</v>
      </c>
      <c r="S14" s="87">
        <f t="shared" si="6"/>
        <v>0</v>
      </c>
    </row>
    <row r="15" spans="1:19" x14ac:dyDescent="0.25">
      <c r="A15" s="62">
        <v>10</v>
      </c>
      <c r="B15" s="89" t="s">
        <v>233</v>
      </c>
      <c r="C15" s="89" t="s">
        <v>196</v>
      </c>
      <c r="D15" s="89" t="s">
        <v>226</v>
      </c>
      <c r="E15" s="62" t="s">
        <v>339</v>
      </c>
      <c r="F15" s="62" t="s">
        <v>200</v>
      </c>
      <c r="G15" s="87">
        <v>4.6399999999999997</v>
      </c>
      <c r="H15" s="87"/>
      <c r="I15" s="87"/>
      <c r="J15" s="89" t="s">
        <v>170</v>
      </c>
      <c r="K15" s="90">
        <v>1</v>
      </c>
      <c r="L15" s="87">
        <f>VLOOKUP(K15,Reinigungstage!$A$10:$E$31,5,FALSE)</f>
        <v>13.09</v>
      </c>
      <c r="M15" s="87">
        <f t="shared" ref="M15:M38" si="7">ROUND(IF(L15=0,0,L15*G15),2)</f>
        <v>60.74</v>
      </c>
      <c r="N15" s="91">
        <f>VLOOKUP(J15,'Lei Unter TH OS Nossen (Ferien)'!$A$6:$B$13,2,0)</f>
        <v>0</v>
      </c>
      <c r="O15" s="92" t="str">
        <f ca="1">'SVS UnterhaltsRG'!$H$61</f>
        <v/>
      </c>
      <c r="P15" s="87">
        <f t="shared" ref="P15:P38" si="8">ROUND(IF(N15=0,0,M15/N15),2)</f>
        <v>0</v>
      </c>
      <c r="Q15" s="87">
        <f t="shared" ref="Q15:Q38" si="9">ROUND(IF(P15=0,0,P15*O15),2)</f>
        <v>0</v>
      </c>
      <c r="R15" s="87">
        <f t="shared" ref="R15:R38" si="10">ROUND(IF(P15=0,0,P15/L15),2)</f>
        <v>0</v>
      </c>
      <c r="S15" s="87">
        <f t="shared" ref="S15:S38" si="11">ROUND(IF(Q15=0,0,Q15/L15),2)</f>
        <v>0</v>
      </c>
    </row>
    <row r="16" spans="1:19" x14ac:dyDescent="0.25">
      <c r="A16" s="62">
        <v>11</v>
      </c>
      <c r="B16" s="89" t="s">
        <v>367</v>
      </c>
      <c r="C16" s="89" t="s">
        <v>196</v>
      </c>
      <c r="D16" s="89" t="s">
        <v>226</v>
      </c>
      <c r="E16" s="62" t="s">
        <v>340</v>
      </c>
      <c r="F16" s="62" t="s">
        <v>200</v>
      </c>
      <c r="G16" s="87">
        <v>31.32</v>
      </c>
      <c r="H16" s="87"/>
      <c r="I16" s="87"/>
      <c r="J16" s="89" t="s">
        <v>174</v>
      </c>
      <c r="K16" s="90">
        <v>1</v>
      </c>
      <c r="L16" s="87">
        <f>VLOOKUP(K16,Reinigungstage!$A$10:$E$31,5,FALSE)</f>
        <v>13.09</v>
      </c>
      <c r="M16" s="87">
        <f t="shared" si="7"/>
        <v>409.98</v>
      </c>
      <c r="N16" s="91">
        <f>VLOOKUP(J16,'Lei Unter TH OS Nossen (Ferien)'!$A$6:$B$13,2,0)</f>
        <v>0</v>
      </c>
      <c r="O16" s="92" t="str">
        <f ca="1">'SVS UnterhaltsRG'!$H$61</f>
        <v/>
      </c>
      <c r="P16" s="87">
        <f t="shared" si="8"/>
        <v>0</v>
      </c>
      <c r="Q16" s="87">
        <f t="shared" si="9"/>
        <v>0</v>
      </c>
      <c r="R16" s="87">
        <f t="shared" si="10"/>
        <v>0</v>
      </c>
      <c r="S16" s="87">
        <f t="shared" si="11"/>
        <v>0</v>
      </c>
    </row>
    <row r="17" spans="1:19" x14ac:dyDescent="0.25">
      <c r="A17" s="62">
        <v>12</v>
      </c>
      <c r="B17" s="89" t="s">
        <v>368</v>
      </c>
      <c r="C17" s="89" t="s">
        <v>196</v>
      </c>
      <c r="D17" s="89" t="s">
        <v>226</v>
      </c>
      <c r="E17" s="62" t="s">
        <v>341</v>
      </c>
      <c r="F17" s="62" t="s">
        <v>200</v>
      </c>
      <c r="G17" s="106">
        <v>30.12</v>
      </c>
      <c r="H17" s="87"/>
      <c r="I17" s="87">
        <v>1</v>
      </c>
      <c r="J17" s="89" t="s">
        <v>174</v>
      </c>
      <c r="K17" s="90">
        <v>1</v>
      </c>
      <c r="L17" s="87">
        <f>VLOOKUP(K17,Reinigungstage!$A$10:$E$31,5,FALSE)</f>
        <v>13.09</v>
      </c>
      <c r="M17" s="87">
        <f t="shared" si="7"/>
        <v>394.27</v>
      </c>
      <c r="N17" s="91">
        <f>VLOOKUP(J17,'Lei Unter TH OS Nossen (Ferien)'!$A$6:$B$13,2,0)</f>
        <v>0</v>
      </c>
      <c r="O17" s="92" t="str">
        <f ca="1">'SVS UnterhaltsRG'!$H$61</f>
        <v/>
      </c>
      <c r="P17" s="87">
        <f t="shared" si="8"/>
        <v>0</v>
      </c>
      <c r="Q17" s="87">
        <f t="shared" si="9"/>
        <v>0</v>
      </c>
      <c r="R17" s="87">
        <f t="shared" si="10"/>
        <v>0</v>
      </c>
      <c r="S17" s="87">
        <f t="shared" si="11"/>
        <v>0</v>
      </c>
    </row>
    <row r="18" spans="1:19" ht="21" x14ac:dyDescent="0.25">
      <c r="A18" s="62">
        <v>14</v>
      </c>
      <c r="B18" s="89" t="s">
        <v>262</v>
      </c>
      <c r="C18" s="89" t="s">
        <v>196</v>
      </c>
      <c r="D18" s="89" t="s">
        <v>226</v>
      </c>
      <c r="E18" s="62" t="s">
        <v>342</v>
      </c>
      <c r="F18" s="62" t="s">
        <v>227</v>
      </c>
      <c r="G18" s="106">
        <v>46.74</v>
      </c>
      <c r="H18" s="87"/>
      <c r="I18" s="87"/>
      <c r="J18" s="89" t="s">
        <v>170</v>
      </c>
      <c r="K18" s="90">
        <v>0</v>
      </c>
      <c r="L18" s="87">
        <f>VLOOKUP(K18,Reinigungstage!$A$10:$E$31,5,FALSE)</f>
        <v>0</v>
      </c>
      <c r="M18" s="87">
        <f t="shared" si="7"/>
        <v>0</v>
      </c>
      <c r="N18" s="91">
        <f>VLOOKUP(J18,'Lei Unter TH OS Nossen (Ferien)'!$A$6:$B$13,2,0)</f>
        <v>0</v>
      </c>
      <c r="O18" s="92" t="str">
        <f ca="1">'SVS UnterhaltsRG'!$H$61</f>
        <v/>
      </c>
      <c r="P18" s="87">
        <f t="shared" si="8"/>
        <v>0</v>
      </c>
      <c r="Q18" s="87">
        <f t="shared" si="9"/>
        <v>0</v>
      </c>
      <c r="R18" s="87">
        <f t="shared" si="10"/>
        <v>0</v>
      </c>
      <c r="S18" s="87">
        <f t="shared" si="11"/>
        <v>0</v>
      </c>
    </row>
    <row r="19" spans="1:19" x14ac:dyDescent="0.25">
      <c r="A19" s="62">
        <v>15</v>
      </c>
      <c r="B19" s="89" t="s">
        <v>263</v>
      </c>
      <c r="C19" s="89" t="s">
        <v>196</v>
      </c>
      <c r="D19" s="89" t="s">
        <v>226</v>
      </c>
      <c r="E19" s="62" t="s">
        <v>343</v>
      </c>
      <c r="F19" s="62" t="s">
        <v>200</v>
      </c>
      <c r="G19" s="106">
        <v>2.46</v>
      </c>
      <c r="H19" s="87"/>
      <c r="I19" s="87"/>
      <c r="J19" s="89" t="s">
        <v>169</v>
      </c>
      <c r="K19" s="90">
        <v>1</v>
      </c>
      <c r="L19" s="87">
        <f>VLOOKUP(K19,Reinigungstage!$A$10:$E$31,5,FALSE)</f>
        <v>13.09</v>
      </c>
      <c r="M19" s="87">
        <f t="shared" si="7"/>
        <v>32.200000000000003</v>
      </c>
      <c r="N19" s="91">
        <f>VLOOKUP(J19,'Lei Unter TH OS Nossen (Ferien)'!$A$6:$B$13,2,0)</f>
        <v>0</v>
      </c>
      <c r="O19" s="92" t="str">
        <f ca="1">'SVS UnterhaltsRG'!$H$61</f>
        <v/>
      </c>
      <c r="P19" s="87">
        <f t="shared" si="8"/>
        <v>0</v>
      </c>
      <c r="Q19" s="87">
        <f t="shared" si="9"/>
        <v>0</v>
      </c>
      <c r="R19" s="87">
        <f t="shared" si="10"/>
        <v>0</v>
      </c>
      <c r="S19" s="87">
        <f t="shared" si="11"/>
        <v>0</v>
      </c>
    </row>
    <row r="20" spans="1:19" x14ac:dyDescent="0.25">
      <c r="A20" s="62">
        <v>16</v>
      </c>
      <c r="B20" s="89" t="s">
        <v>265</v>
      </c>
      <c r="C20" s="89" t="s">
        <v>196</v>
      </c>
      <c r="D20" s="89" t="s">
        <v>226</v>
      </c>
      <c r="E20" s="62" t="s">
        <v>344</v>
      </c>
      <c r="F20" s="62" t="s">
        <v>200</v>
      </c>
      <c r="G20" s="109">
        <v>2.4500000000000002</v>
      </c>
      <c r="H20" s="87"/>
      <c r="I20" s="87"/>
      <c r="J20" s="89" t="s">
        <v>169</v>
      </c>
      <c r="K20" s="90">
        <v>1</v>
      </c>
      <c r="L20" s="87">
        <f>VLOOKUP(K20,Reinigungstage!$A$10:$E$31,5,FALSE)</f>
        <v>13.09</v>
      </c>
      <c r="M20" s="87">
        <f t="shared" si="7"/>
        <v>32.07</v>
      </c>
      <c r="N20" s="91">
        <f>VLOOKUP(J20,'Lei Unter TH OS Nossen (Ferien)'!$A$6:$B$13,2,0)</f>
        <v>0</v>
      </c>
      <c r="O20" s="92" t="str">
        <f ca="1">'SVS UnterhaltsRG'!$H$61</f>
        <v/>
      </c>
      <c r="P20" s="87">
        <f t="shared" si="8"/>
        <v>0</v>
      </c>
      <c r="Q20" s="87">
        <f t="shared" si="9"/>
        <v>0</v>
      </c>
      <c r="R20" s="87">
        <f t="shared" si="10"/>
        <v>0</v>
      </c>
      <c r="S20" s="87">
        <f t="shared" si="11"/>
        <v>0</v>
      </c>
    </row>
    <row r="21" spans="1:19" x14ac:dyDescent="0.25">
      <c r="A21" s="62">
        <v>17</v>
      </c>
      <c r="B21" s="89" t="s">
        <v>266</v>
      </c>
      <c r="C21" s="89" t="s">
        <v>196</v>
      </c>
      <c r="D21" s="89" t="s">
        <v>226</v>
      </c>
      <c r="E21" s="62" t="s">
        <v>345</v>
      </c>
      <c r="F21" s="62" t="s">
        <v>197</v>
      </c>
      <c r="G21" s="106">
        <v>7.38</v>
      </c>
      <c r="H21" s="87"/>
      <c r="I21" s="87"/>
      <c r="J21" s="89" t="s">
        <v>172</v>
      </c>
      <c r="K21" s="90">
        <v>1</v>
      </c>
      <c r="L21" s="87">
        <f>VLOOKUP(K21,Reinigungstage!$A$10:$E$31,5,FALSE)</f>
        <v>13.09</v>
      </c>
      <c r="M21" s="87">
        <f t="shared" si="7"/>
        <v>96.6</v>
      </c>
      <c r="N21" s="91">
        <f>VLOOKUP(J21,'Lei Unter TH OS Nossen (Ferien)'!$A$6:$B$13,2,0)</f>
        <v>0</v>
      </c>
      <c r="O21" s="92" t="str">
        <f ca="1">'SVS UnterhaltsRG'!$H$61</f>
        <v/>
      </c>
      <c r="P21" s="87">
        <f t="shared" si="8"/>
        <v>0</v>
      </c>
      <c r="Q21" s="87">
        <f t="shared" si="9"/>
        <v>0</v>
      </c>
      <c r="R21" s="87">
        <f t="shared" si="10"/>
        <v>0</v>
      </c>
      <c r="S21" s="87">
        <f t="shared" si="11"/>
        <v>0</v>
      </c>
    </row>
    <row r="22" spans="1:19" x14ac:dyDescent="0.25">
      <c r="A22" s="62">
        <v>18</v>
      </c>
      <c r="B22" s="89" t="s">
        <v>264</v>
      </c>
      <c r="C22" s="89" t="s">
        <v>196</v>
      </c>
      <c r="D22" s="89" t="s">
        <v>226</v>
      </c>
      <c r="E22" s="62" t="s">
        <v>346</v>
      </c>
      <c r="F22" s="62" t="s">
        <v>197</v>
      </c>
      <c r="G22" s="106">
        <v>7.45</v>
      </c>
      <c r="H22" s="87"/>
      <c r="I22" s="87"/>
      <c r="J22" s="89" t="s">
        <v>172</v>
      </c>
      <c r="K22" s="90">
        <v>1</v>
      </c>
      <c r="L22" s="87">
        <f>VLOOKUP(K22,Reinigungstage!$A$10:$E$31,5,FALSE)</f>
        <v>13.09</v>
      </c>
      <c r="M22" s="87">
        <f t="shared" si="7"/>
        <v>97.52</v>
      </c>
      <c r="N22" s="91">
        <f>VLOOKUP(J22,'Lei Unter TH OS Nossen (Ferien)'!$A$6:$B$13,2,0)</f>
        <v>0</v>
      </c>
      <c r="O22" s="92" t="str">
        <f ca="1">'SVS UnterhaltsRG'!$H$61</f>
        <v/>
      </c>
      <c r="P22" s="87">
        <f t="shared" si="8"/>
        <v>0</v>
      </c>
      <c r="Q22" s="87">
        <f t="shared" si="9"/>
        <v>0</v>
      </c>
      <c r="R22" s="87">
        <f t="shared" si="10"/>
        <v>0</v>
      </c>
      <c r="S22" s="87">
        <f t="shared" si="11"/>
        <v>0</v>
      </c>
    </row>
    <row r="23" spans="1:19" x14ac:dyDescent="0.25">
      <c r="A23" s="62">
        <v>20</v>
      </c>
      <c r="B23" s="89" t="s">
        <v>268</v>
      </c>
      <c r="C23" s="89" t="s">
        <v>196</v>
      </c>
      <c r="D23" s="89" t="s">
        <v>226</v>
      </c>
      <c r="E23" s="62" t="s">
        <v>347</v>
      </c>
      <c r="F23" s="62" t="s">
        <v>200</v>
      </c>
      <c r="G23" s="87">
        <v>6.91</v>
      </c>
      <c r="H23" s="87"/>
      <c r="I23" s="87"/>
      <c r="J23" s="89" t="s">
        <v>170</v>
      </c>
      <c r="K23" s="90">
        <v>1</v>
      </c>
      <c r="L23" s="87">
        <f>VLOOKUP(K23,Reinigungstage!$A$10:$E$31,5,FALSE)</f>
        <v>13.09</v>
      </c>
      <c r="M23" s="87">
        <f t="shared" si="7"/>
        <v>90.45</v>
      </c>
      <c r="N23" s="91">
        <f>VLOOKUP(J23,'Lei Unter TH OS Nossen (Ferien)'!$A$6:$B$13,2,0)</f>
        <v>0</v>
      </c>
      <c r="O23" s="92" t="str">
        <f ca="1">'SVS UnterhaltsRG'!$H$61</f>
        <v/>
      </c>
      <c r="P23" s="87">
        <f t="shared" si="8"/>
        <v>0</v>
      </c>
      <c r="Q23" s="87">
        <f t="shared" si="9"/>
        <v>0</v>
      </c>
      <c r="R23" s="87">
        <f t="shared" si="10"/>
        <v>0</v>
      </c>
      <c r="S23" s="87">
        <f t="shared" si="11"/>
        <v>0</v>
      </c>
    </row>
    <row r="24" spans="1:19" x14ac:dyDescent="0.25">
      <c r="A24" s="62">
        <v>21</v>
      </c>
      <c r="B24" s="89" t="s">
        <v>270</v>
      </c>
      <c r="C24" s="89" t="s">
        <v>196</v>
      </c>
      <c r="D24" s="89" t="s">
        <v>226</v>
      </c>
      <c r="E24" s="62" t="s">
        <v>348</v>
      </c>
      <c r="F24" s="62" t="s">
        <v>200</v>
      </c>
      <c r="G24" s="106">
        <v>20.010000000000002</v>
      </c>
      <c r="H24" s="87"/>
      <c r="I24" s="87"/>
      <c r="J24" s="89" t="s">
        <v>172</v>
      </c>
      <c r="K24" s="90">
        <v>1</v>
      </c>
      <c r="L24" s="87">
        <f>VLOOKUP(K24,Reinigungstage!$A$10:$E$31,5,FALSE)</f>
        <v>13.09</v>
      </c>
      <c r="M24" s="87">
        <f t="shared" si="7"/>
        <v>261.93</v>
      </c>
      <c r="N24" s="91">
        <f>VLOOKUP(J24,'Lei Unter TH OS Nossen (Ferien)'!$A$6:$B$13,2,0)</f>
        <v>0</v>
      </c>
      <c r="O24" s="92" t="str">
        <f ca="1">'SVS UnterhaltsRG'!$H$61</f>
        <v/>
      </c>
      <c r="P24" s="87">
        <f t="shared" si="8"/>
        <v>0</v>
      </c>
      <c r="Q24" s="87">
        <f t="shared" si="9"/>
        <v>0</v>
      </c>
      <c r="R24" s="87">
        <f t="shared" si="10"/>
        <v>0</v>
      </c>
      <c r="S24" s="87">
        <f t="shared" si="11"/>
        <v>0</v>
      </c>
    </row>
    <row r="25" spans="1:19" x14ac:dyDescent="0.25">
      <c r="A25" s="62">
        <v>22</v>
      </c>
      <c r="B25" s="89" t="s">
        <v>271</v>
      </c>
      <c r="C25" s="89" t="s">
        <v>196</v>
      </c>
      <c r="D25" s="89" t="s">
        <v>226</v>
      </c>
      <c r="E25" s="62" t="s">
        <v>349</v>
      </c>
      <c r="F25" s="62" t="s">
        <v>200</v>
      </c>
      <c r="G25" s="106">
        <v>9.92</v>
      </c>
      <c r="H25" s="87"/>
      <c r="I25" s="87"/>
      <c r="J25" s="89" t="s">
        <v>169</v>
      </c>
      <c r="K25" s="90">
        <v>1</v>
      </c>
      <c r="L25" s="87">
        <f>VLOOKUP(K25,Reinigungstage!$A$10:$E$31,5,FALSE)</f>
        <v>13.09</v>
      </c>
      <c r="M25" s="87">
        <f t="shared" si="7"/>
        <v>129.85</v>
      </c>
      <c r="N25" s="91">
        <f>VLOOKUP(J25,'Lei Unter TH OS Nossen (Ferien)'!$A$6:$B$13,2,0)</f>
        <v>0</v>
      </c>
      <c r="O25" s="92" t="str">
        <f ca="1">'SVS UnterhaltsRG'!$H$61</f>
        <v/>
      </c>
      <c r="P25" s="87">
        <f t="shared" si="8"/>
        <v>0</v>
      </c>
      <c r="Q25" s="87">
        <f t="shared" si="9"/>
        <v>0</v>
      </c>
      <c r="R25" s="87">
        <f t="shared" si="10"/>
        <v>0</v>
      </c>
      <c r="S25" s="87">
        <f t="shared" si="11"/>
        <v>0</v>
      </c>
    </row>
    <row r="26" spans="1:19" x14ac:dyDescent="0.25">
      <c r="A26" s="62">
        <v>23</v>
      </c>
      <c r="B26" s="89" t="s">
        <v>272</v>
      </c>
      <c r="C26" s="89" t="s">
        <v>196</v>
      </c>
      <c r="D26" s="89" t="s">
        <v>226</v>
      </c>
      <c r="E26" s="62" t="s">
        <v>350</v>
      </c>
      <c r="F26" s="62" t="s">
        <v>200</v>
      </c>
      <c r="G26" s="106">
        <v>1.55</v>
      </c>
      <c r="H26" s="87"/>
      <c r="I26" s="87"/>
      <c r="J26" s="89" t="s">
        <v>169</v>
      </c>
      <c r="K26" s="90">
        <v>1</v>
      </c>
      <c r="L26" s="87">
        <f>VLOOKUP(K26,Reinigungstage!$A$10:$E$31,5,FALSE)</f>
        <v>13.09</v>
      </c>
      <c r="M26" s="87">
        <f t="shared" si="7"/>
        <v>20.29</v>
      </c>
      <c r="N26" s="91">
        <f>VLOOKUP(J26,'Lei Unter TH OS Nossen (Ferien)'!$A$6:$B$13,2,0)</f>
        <v>0</v>
      </c>
      <c r="O26" s="92" t="str">
        <f ca="1">'SVS UnterhaltsRG'!$H$61</f>
        <v/>
      </c>
      <c r="P26" s="87">
        <f t="shared" si="8"/>
        <v>0</v>
      </c>
      <c r="Q26" s="87">
        <f t="shared" si="9"/>
        <v>0</v>
      </c>
      <c r="R26" s="87">
        <f t="shared" si="10"/>
        <v>0</v>
      </c>
      <c r="S26" s="87">
        <f t="shared" si="11"/>
        <v>0</v>
      </c>
    </row>
    <row r="27" spans="1:19" x14ac:dyDescent="0.25">
      <c r="A27" s="62">
        <v>24</v>
      </c>
      <c r="B27" s="89" t="s">
        <v>276</v>
      </c>
      <c r="C27" s="89" t="s">
        <v>196</v>
      </c>
      <c r="D27" s="89" t="s">
        <v>226</v>
      </c>
      <c r="E27" s="62" t="s">
        <v>351</v>
      </c>
      <c r="F27" s="62" t="s">
        <v>200</v>
      </c>
      <c r="G27" s="106">
        <v>10.27</v>
      </c>
      <c r="H27" s="87"/>
      <c r="I27" s="87"/>
      <c r="J27" s="89" t="s">
        <v>169</v>
      </c>
      <c r="K27" s="90">
        <v>1</v>
      </c>
      <c r="L27" s="87">
        <f>VLOOKUP(K27,Reinigungstage!$A$10:$E$31,5,FALSE)</f>
        <v>13.09</v>
      </c>
      <c r="M27" s="87">
        <f t="shared" si="7"/>
        <v>134.43</v>
      </c>
      <c r="N27" s="91">
        <f>VLOOKUP(J27,'Lei Unter TH OS Nossen (Ferien)'!$A$6:$B$13,2,0)</f>
        <v>0</v>
      </c>
      <c r="O27" s="92" t="str">
        <f ca="1">'SVS UnterhaltsRG'!$H$61</f>
        <v/>
      </c>
      <c r="P27" s="87">
        <f t="shared" si="8"/>
        <v>0</v>
      </c>
      <c r="Q27" s="87">
        <f t="shared" si="9"/>
        <v>0</v>
      </c>
      <c r="R27" s="87">
        <f t="shared" si="10"/>
        <v>0</v>
      </c>
      <c r="S27" s="87">
        <f t="shared" si="11"/>
        <v>0</v>
      </c>
    </row>
    <row r="28" spans="1:19" x14ac:dyDescent="0.25">
      <c r="A28" s="62">
        <v>25</v>
      </c>
      <c r="B28" s="89" t="s">
        <v>277</v>
      </c>
      <c r="C28" s="89" t="s">
        <v>196</v>
      </c>
      <c r="D28" s="89" t="s">
        <v>226</v>
      </c>
      <c r="E28" s="62" t="s">
        <v>352</v>
      </c>
      <c r="F28" s="62" t="s">
        <v>200</v>
      </c>
      <c r="G28" s="109">
        <v>19.13</v>
      </c>
      <c r="H28" s="87"/>
      <c r="I28" s="87"/>
      <c r="J28" s="89" t="s">
        <v>172</v>
      </c>
      <c r="K28" s="90">
        <v>1</v>
      </c>
      <c r="L28" s="87">
        <f>VLOOKUP(K28,Reinigungstage!$A$10:$E$31,5,FALSE)</f>
        <v>13.09</v>
      </c>
      <c r="M28" s="87">
        <f t="shared" si="7"/>
        <v>250.41</v>
      </c>
      <c r="N28" s="91">
        <f>VLOOKUP(J28,'Lei Unter TH OS Nossen (Ferien)'!$A$6:$B$13,2,0)</f>
        <v>0</v>
      </c>
      <c r="O28" s="92" t="str">
        <f ca="1">'SVS UnterhaltsRG'!$H$61</f>
        <v/>
      </c>
      <c r="P28" s="87">
        <f t="shared" si="8"/>
        <v>0</v>
      </c>
      <c r="Q28" s="87">
        <f t="shared" si="9"/>
        <v>0</v>
      </c>
      <c r="R28" s="87">
        <f t="shared" si="10"/>
        <v>0</v>
      </c>
      <c r="S28" s="87">
        <f t="shared" si="11"/>
        <v>0</v>
      </c>
    </row>
    <row r="29" spans="1:19" x14ac:dyDescent="0.25">
      <c r="A29" s="62">
        <v>26</v>
      </c>
      <c r="B29" s="89" t="s">
        <v>275</v>
      </c>
      <c r="C29" s="89" t="s">
        <v>196</v>
      </c>
      <c r="D29" s="89" t="s">
        <v>226</v>
      </c>
      <c r="E29" s="62" t="s">
        <v>353</v>
      </c>
      <c r="F29" s="62" t="s">
        <v>200</v>
      </c>
      <c r="G29" s="106">
        <v>1.55</v>
      </c>
      <c r="H29" s="87"/>
      <c r="I29" s="87"/>
      <c r="J29" s="89" t="s">
        <v>169</v>
      </c>
      <c r="K29" s="90">
        <v>1</v>
      </c>
      <c r="L29" s="87">
        <f>VLOOKUP(K29,Reinigungstage!$A$10:$E$31,5,FALSE)</f>
        <v>13.09</v>
      </c>
      <c r="M29" s="87">
        <f t="shared" si="7"/>
        <v>20.29</v>
      </c>
      <c r="N29" s="91">
        <f>VLOOKUP(J29,'Lei Unter TH OS Nossen (Ferien)'!$A$6:$B$13,2,0)</f>
        <v>0</v>
      </c>
      <c r="O29" s="92" t="str">
        <f ca="1">'SVS UnterhaltsRG'!$H$61</f>
        <v/>
      </c>
      <c r="P29" s="87">
        <f t="shared" si="8"/>
        <v>0</v>
      </c>
      <c r="Q29" s="87">
        <f t="shared" si="9"/>
        <v>0</v>
      </c>
      <c r="R29" s="87">
        <f t="shared" si="10"/>
        <v>0</v>
      </c>
      <c r="S29" s="87">
        <f t="shared" si="11"/>
        <v>0</v>
      </c>
    </row>
    <row r="30" spans="1:19" x14ac:dyDescent="0.25">
      <c r="A30" s="62">
        <v>27</v>
      </c>
      <c r="B30" s="89" t="s">
        <v>273</v>
      </c>
      <c r="C30" s="89" t="s">
        <v>196</v>
      </c>
      <c r="D30" s="89" t="s">
        <v>226</v>
      </c>
      <c r="E30" s="62" t="s">
        <v>354</v>
      </c>
      <c r="F30" s="62" t="s">
        <v>200</v>
      </c>
      <c r="G30" s="106">
        <v>1.55</v>
      </c>
      <c r="H30" s="87"/>
      <c r="I30" s="87"/>
      <c r="J30" s="89" t="s">
        <v>169</v>
      </c>
      <c r="K30" s="90">
        <v>1</v>
      </c>
      <c r="L30" s="87">
        <f>VLOOKUP(K30,Reinigungstage!$A$10:$E$31,5,FALSE)</f>
        <v>13.09</v>
      </c>
      <c r="M30" s="87">
        <f t="shared" si="7"/>
        <v>20.29</v>
      </c>
      <c r="N30" s="91">
        <f>VLOOKUP(J30,'Lei Unter TH OS Nossen (Ferien)'!$A$6:$B$13,2,0)</f>
        <v>0</v>
      </c>
      <c r="O30" s="92" t="str">
        <f ca="1">'SVS UnterhaltsRG'!$H$61</f>
        <v/>
      </c>
      <c r="P30" s="87">
        <f t="shared" si="8"/>
        <v>0</v>
      </c>
      <c r="Q30" s="87">
        <f t="shared" si="9"/>
        <v>0</v>
      </c>
      <c r="R30" s="87">
        <f t="shared" si="10"/>
        <v>0</v>
      </c>
      <c r="S30" s="87">
        <f t="shared" si="11"/>
        <v>0</v>
      </c>
    </row>
    <row r="31" spans="1:19" x14ac:dyDescent="0.25">
      <c r="A31" s="62">
        <v>28</v>
      </c>
      <c r="B31" s="93" t="s">
        <v>274</v>
      </c>
      <c r="C31" s="89" t="s">
        <v>196</v>
      </c>
      <c r="D31" s="89" t="s">
        <v>226</v>
      </c>
      <c r="E31" s="62" t="s">
        <v>355</v>
      </c>
      <c r="F31" s="62" t="s">
        <v>200</v>
      </c>
      <c r="G31" s="87">
        <v>1.55</v>
      </c>
      <c r="H31" s="87"/>
      <c r="I31" s="87"/>
      <c r="J31" s="89" t="s">
        <v>169</v>
      </c>
      <c r="K31" s="90">
        <v>1</v>
      </c>
      <c r="L31" s="87">
        <f>VLOOKUP(K31,Reinigungstage!$A$10:$E$31,5,FALSE)</f>
        <v>13.09</v>
      </c>
      <c r="M31" s="87">
        <f t="shared" si="7"/>
        <v>20.29</v>
      </c>
      <c r="N31" s="91">
        <f>VLOOKUP(J31,'Lei Unter TH OS Nossen (Ferien)'!$A$6:$B$13,2,0)</f>
        <v>0</v>
      </c>
      <c r="O31" s="92" t="str">
        <f ca="1">'SVS UnterhaltsRG'!$H$61</f>
        <v/>
      </c>
      <c r="P31" s="87">
        <f t="shared" si="8"/>
        <v>0</v>
      </c>
      <c r="Q31" s="87">
        <f t="shared" si="9"/>
        <v>0</v>
      </c>
      <c r="R31" s="87">
        <f t="shared" si="10"/>
        <v>0</v>
      </c>
      <c r="S31" s="87">
        <f t="shared" si="11"/>
        <v>0</v>
      </c>
    </row>
    <row r="32" spans="1:19" x14ac:dyDescent="0.25">
      <c r="A32" s="62">
        <v>29</v>
      </c>
      <c r="B32" s="89" t="s">
        <v>267</v>
      </c>
      <c r="C32" s="89" t="s">
        <v>196</v>
      </c>
      <c r="D32" s="89" t="s">
        <v>226</v>
      </c>
      <c r="E32" s="62" t="s">
        <v>356</v>
      </c>
      <c r="F32" s="62" t="s">
        <v>200</v>
      </c>
      <c r="G32" s="87">
        <v>31.32</v>
      </c>
      <c r="H32" s="87"/>
      <c r="I32" s="87">
        <v>1</v>
      </c>
      <c r="J32" s="89" t="s">
        <v>174</v>
      </c>
      <c r="K32" s="90">
        <v>1</v>
      </c>
      <c r="L32" s="87">
        <f>VLOOKUP(K32,Reinigungstage!$A$10:$E$31,5,FALSE)</f>
        <v>13.09</v>
      </c>
      <c r="M32" s="87">
        <f t="shared" si="7"/>
        <v>409.98</v>
      </c>
      <c r="N32" s="91">
        <f>VLOOKUP(J32,'Lei Unter TH OS Nossen (Ferien)'!$A$6:$B$13,2,0)</f>
        <v>0</v>
      </c>
      <c r="O32" s="92" t="str">
        <f ca="1">'SVS UnterhaltsRG'!$H$61</f>
        <v/>
      </c>
      <c r="P32" s="87">
        <f t="shared" si="8"/>
        <v>0</v>
      </c>
      <c r="Q32" s="87">
        <f t="shared" si="9"/>
        <v>0</v>
      </c>
      <c r="R32" s="87">
        <f t="shared" si="10"/>
        <v>0</v>
      </c>
      <c r="S32" s="87">
        <f t="shared" si="11"/>
        <v>0</v>
      </c>
    </row>
    <row r="33" spans="1:19" x14ac:dyDescent="0.25">
      <c r="A33" s="62">
        <v>30</v>
      </c>
      <c r="B33" s="93" t="s">
        <v>369</v>
      </c>
      <c r="C33" s="89" t="s">
        <v>196</v>
      </c>
      <c r="D33" s="89" t="s">
        <v>226</v>
      </c>
      <c r="E33" s="62" t="s">
        <v>357</v>
      </c>
      <c r="F33" s="62" t="s">
        <v>200</v>
      </c>
      <c r="G33" s="87">
        <v>5.52</v>
      </c>
      <c r="H33" s="87"/>
      <c r="I33" s="87"/>
      <c r="J33" s="89" t="s">
        <v>169</v>
      </c>
      <c r="K33" s="90">
        <v>1</v>
      </c>
      <c r="L33" s="87">
        <f>VLOOKUP(K33,Reinigungstage!$A$10:$E$31,5,FALSE)</f>
        <v>13.09</v>
      </c>
      <c r="M33" s="87">
        <f t="shared" si="7"/>
        <v>72.260000000000005</v>
      </c>
      <c r="N33" s="91">
        <f>VLOOKUP(J33,'Lei Unter TH OS Nossen (Ferien)'!$A$6:$B$13,2,0)</f>
        <v>0</v>
      </c>
      <c r="O33" s="92" t="str">
        <f ca="1">'SVS UnterhaltsRG'!$H$61</f>
        <v/>
      </c>
      <c r="P33" s="87">
        <f t="shared" si="8"/>
        <v>0</v>
      </c>
      <c r="Q33" s="87">
        <f t="shared" si="9"/>
        <v>0</v>
      </c>
      <c r="R33" s="87">
        <f t="shared" si="10"/>
        <v>0</v>
      </c>
      <c r="S33" s="87">
        <f t="shared" si="11"/>
        <v>0</v>
      </c>
    </row>
    <row r="34" spans="1:19" x14ac:dyDescent="0.25">
      <c r="A34" s="62">
        <v>31</v>
      </c>
      <c r="B34" s="89" t="s">
        <v>280</v>
      </c>
      <c r="C34" s="89" t="s">
        <v>196</v>
      </c>
      <c r="D34" s="89" t="s">
        <v>226</v>
      </c>
      <c r="E34" s="62" t="s">
        <v>358</v>
      </c>
      <c r="F34" s="62" t="s">
        <v>200</v>
      </c>
      <c r="G34" s="87">
        <v>4.3899999999999997</v>
      </c>
      <c r="H34" s="87"/>
      <c r="I34" s="87"/>
      <c r="J34" s="89" t="s">
        <v>169</v>
      </c>
      <c r="K34" s="90">
        <v>1</v>
      </c>
      <c r="L34" s="87">
        <f>VLOOKUP(K34,Reinigungstage!$A$10:$E$31,5,FALSE)</f>
        <v>13.09</v>
      </c>
      <c r="M34" s="87">
        <f t="shared" si="7"/>
        <v>57.47</v>
      </c>
      <c r="N34" s="91">
        <f>VLOOKUP(J34,'Lei Unter TH OS Nossen (Ferien)'!$A$6:$B$13,2,0)</f>
        <v>0</v>
      </c>
      <c r="O34" s="92" t="str">
        <f ca="1">'SVS UnterhaltsRG'!$H$61</f>
        <v/>
      </c>
      <c r="P34" s="87">
        <f t="shared" si="8"/>
        <v>0</v>
      </c>
      <c r="Q34" s="87">
        <f t="shared" si="9"/>
        <v>0</v>
      </c>
      <c r="R34" s="87">
        <f t="shared" si="10"/>
        <v>0</v>
      </c>
      <c r="S34" s="87">
        <f t="shared" si="11"/>
        <v>0</v>
      </c>
    </row>
    <row r="35" spans="1:19" x14ac:dyDescent="0.25">
      <c r="A35" s="62">
        <v>32</v>
      </c>
      <c r="B35" s="89" t="s">
        <v>371</v>
      </c>
      <c r="C35" s="89" t="s">
        <v>196</v>
      </c>
      <c r="D35" s="89" t="s">
        <v>226</v>
      </c>
      <c r="E35" s="62" t="s">
        <v>359</v>
      </c>
      <c r="F35" s="62" t="s">
        <v>197</v>
      </c>
      <c r="G35" s="106">
        <v>7.53</v>
      </c>
      <c r="H35" s="87"/>
      <c r="I35" s="87"/>
      <c r="J35" s="89" t="s">
        <v>168</v>
      </c>
      <c r="K35" s="90">
        <v>1</v>
      </c>
      <c r="L35" s="87">
        <f>VLOOKUP(K35,Reinigungstage!$A$10:$E$31,5,FALSE)</f>
        <v>13.09</v>
      </c>
      <c r="M35" s="87">
        <f t="shared" si="7"/>
        <v>98.57</v>
      </c>
      <c r="N35" s="91">
        <f>VLOOKUP(J35,'Lei Unter TH OS Nossen (Ferien)'!$A$6:$B$13,2,0)</f>
        <v>0</v>
      </c>
      <c r="O35" s="92" t="str">
        <f ca="1">'SVS UnterhaltsRG'!$H$61</f>
        <v/>
      </c>
      <c r="P35" s="87">
        <f t="shared" si="8"/>
        <v>0</v>
      </c>
      <c r="Q35" s="87">
        <f t="shared" si="9"/>
        <v>0</v>
      </c>
      <c r="R35" s="87">
        <f t="shared" si="10"/>
        <v>0</v>
      </c>
      <c r="S35" s="87">
        <f t="shared" si="11"/>
        <v>0</v>
      </c>
    </row>
    <row r="36" spans="1:19" x14ac:dyDescent="0.25">
      <c r="A36" s="62">
        <v>33</v>
      </c>
      <c r="B36" s="89" t="s">
        <v>370</v>
      </c>
      <c r="C36" s="89" t="s">
        <v>196</v>
      </c>
      <c r="D36" s="89" t="s">
        <v>226</v>
      </c>
      <c r="E36" s="62" t="s">
        <v>360</v>
      </c>
      <c r="F36" s="62" t="s">
        <v>197</v>
      </c>
      <c r="G36" s="106">
        <v>2.2999999999999998</v>
      </c>
      <c r="H36" s="87"/>
      <c r="I36" s="87"/>
      <c r="J36" s="89" t="s">
        <v>170</v>
      </c>
      <c r="K36" s="90">
        <v>1</v>
      </c>
      <c r="L36" s="87">
        <f>VLOOKUP(K36,Reinigungstage!$A$10:$E$31,5,FALSE)</f>
        <v>13.09</v>
      </c>
      <c r="M36" s="87">
        <f t="shared" si="7"/>
        <v>30.11</v>
      </c>
      <c r="N36" s="91">
        <f>VLOOKUP(J36,'Lei Unter TH OS Nossen (Ferien)'!$A$6:$B$13,2,0)</f>
        <v>0</v>
      </c>
      <c r="O36" s="92" t="str">
        <f ca="1">'SVS UnterhaltsRG'!$H$61</f>
        <v/>
      </c>
      <c r="P36" s="87">
        <f t="shared" si="8"/>
        <v>0</v>
      </c>
      <c r="Q36" s="87">
        <f t="shared" si="9"/>
        <v>0</v>
      </c>
      <c r="R36" s="87">
        <f t="shared" si="10"/>
        <v>0</v>
      </c>
      <c r="S36" s="87">
        <f t="shared" si="11"/>
        <v>0</v>
      </c>
    </row>
    <row r="37" spans="1:19" ht="21" x14ac:dyDescent="0.25">
      <c r="A37" s="62">
        <v>34</v>
      </c>
      <c r="B37" s="89" t="s">
        <v>279</v>
      </c>
      <c r="C37" s="89" t="s">
        <v>196</v>
      </c>
      <c r="D37" s="89" t="s">
        <v>226</v>
      </c>
      <c r="E37" s="62" t="s">
        <v>361</v>
      </c>
      <c r="F37" s="62" t="s">
        <v>227</v>
      </c>
      <c r="G37" s="106">
        <v>46.74</v>
      </c>
      <c r="H37" s="87"/>
      <c r="I37" s="87"/>
      <c r="J37" s="89" t="s">
        <v>170</v>
      </c>
      <c r="K37" s="90">
        <v>0</v>
      </c>
      <c r="L37" s="87">
        <f>VLOOKUP(K37,Reinigungstage!$A$10:$E$31,5,FALSE)</f>
        <v>0</v>
      </c>
      <c r="M37" s="87">
        <f t="shared" si="7"/>
        <v>0</v>
      </c>
      <c r="N37" s="91">
        <f>VLOOKUP(J37,'Lei Unter TH OS Nossen (Ferien)'!$A$6:$B$13,2,0)</f>
        <v>0</v>
      </c>
      <c r="O37" s="92" t="str">
        <f ca="1">'SVS UnterhaltsRG'!$H$61</f>
        <v/>
      </c>
      <c r="P37" s="87">
        <f t="shared" si="8"/>
        <v>0</v>
      </c>
      <c r="Q37" s="87">
        <f t="shared" si="9"/>
        <v>0</v>
      </c>
      <c r="R37" s="87">
        <f t="shared" si="10"/>
        <v>0</v>
      </c>
      <c r="S37" s="87">
        <f t="shared" si="11"/>
        <v>0</v>
      </c>
    </row>
    <row r="38" spans="1:19" x14ac:dyDescent="0.25">
      <c r="A38" s="62">
        <v>35</v>
      </c>
      <c r="B38" s="89" t="s">
        <v>278</v>
      </c>
      <c r="C38" s="89" t="s">
        <v>196</v>
      </c>
      <c r="D38" s="89" t="s">
        <v>226</v>
      </c>
      <c r="E38" s="62" t="s">
        <v>362</v>
      </c>
      <c r="F38" s="62" t="s">
        <v>200</v>
      </c>
      <c r="G38" s="106">
        <v>18.09</v>
      </c>
      <c r="H38" s="87"/>
      <c r="I38" s="87"/>
      <c r="J38" s="89" t="s">
        <v>170</v>
      </c>
      <c r="K38" s="90">
        <v>0</v>
      </c>
      <c r="L38" s="87">
        <f>VLOOKUP(K38,Reinigungstage!$A$10:$E$31,5,FALSE)</f>
        <v>0</v>
      </c>
      <c r="M38" s="87">
        <f t="shared" si="7"/>
        <v>0</v>
      </c>
      <c r="N38" s="91">
        <f>VLOOKUP(J38,'Lei Unter TH OS Nossen (Ferien)'!$A$6:$B$13,2,0)</f>
        <v>0</v>
      </c>
      <c r="O38" s="92" t="str">
        <f ca="1">'SVS UnterhaltsRG'!$H$61</f>
        <v/>
      </c>
      <c r="P38" s="87">
        <f t="shared" si="8"/>
        <v>0</v>
      </c>
      <c r="Q38" s="87">
        <f t="shared" si="9"/>
        <v>0</v>
      </c>
      <c r="R38" s="87">
        <f t="shared" si="10"/>
        <v>0</v>
      </c>
      <c r="S38" s="87">
        <f t="shared" si="11"/>
        <v>0</v>
      </c>
    </row>
    <row r="39" spans="1:19" ht="21" x14ac:dyDescent="0.25">
      <c r="A39" s="62">
        <v>36</v>
      </c>
      <c r="B39" s="89" t="s">
        <v>411</v>
      </c>
      <c r="C39" s="89" t="s">
        <v>196</v>
      </c>
      <c r="D39" s="89" t="s">
        <v>226</v>
      </c>
      <c r="E39" s="62" t="s">
        <v>410</v>
      </c>
      <c r="F39" s="62" t="s">
        <v>227</v>
      </c>
      <c r="G39" s="109">
        <v>968</v>
      </c>
      <c r="H39" s="87"/>
      <c r="I39" s="87"/>
      <c r="J39" s="89" t="s">
        <v>409</v>
      </c>
      <c r="K39" s="90">
        <v>1</v>
      </c>
      <c r="L39" s="87">
        <f>VLOOKUP(K39,Reinigungstage!$A$10:$E$31,5,FALSE)</f>
        <v>13.09</v>
      </c>
      <c r="M39" s="87">
        <f t="shared" ref="M39" si="12">ROUND(IF(L39=0,0,L39*G39),2)</f>
        <v>12671.12</v>
      </c>
      <c r="N39" s="91">
        <f>VLOOKUP(J39,'Lei Unter TH OS Nossen (Ferien)'!$A$6:$B$13,2,0)</f>
        <v>0</v>
      </c>
      <c r="O39" s="92" t="str">
        <f ca="1">'SVS UnterhaltsRG'!$H$61</f>
        <v/>
      </c>
      <c r="P39" s="87">
        <f t="shared" ref="P39" si="13">ROUND(IF(N39=0,0,M39/N39),2)</f>
        <v>0</v>
      </c>
      <c r="Q39" s="87">
        <f t="shared" ref="Q39" si="14">ROUND(IF(P39=0,0,P39*O39),2)</f>
        <v>0</v>
      </c>
      <c r="R39" s="87">
        <f t="shared" ref="R39" si="15">ROUND(IF(P39=0,0,P39/L39),2)</f>
        <v>0</v>
      </c>
      <c r="S39" s="87">
        <f t="shared" ref="S39" si="16">ROUND(IF(Q39=0,0,Q39/L39),2)</f>
        <v>0</v>
      </c>
    </row>
  </sheetData>
  <sheetProtection algorithmName="SHA-512" hashValue="8sbGL3/MSHLmRj3ArmhpD+DIDmTj89jHMBWipJyT6uXBC7MU/WrBAfSp5TWPNpiV8dTtVSD+OX+01JTkOGzByg==" saltValue="aLvZP0SKY6g/QqVIaTGyrA==" spinCount="100000" sheet="1" objects="1" scenarios="1" formatCells="0" formatColumns="0" formatRows="0" insertColumns="0" insertRows="0" insertHyperlinks="0" deleteColumns="0" deleteRows="0"/>
  <phoneticPr fontId="20" type="noConversion"/>
  <hyperlinks>
    <hyperlink ref="M1" location="Inhaltsverzeichnis!A1" display="Zurück zum Inhaltsverzeichnis" xr:uid="{865A0591-0C4B-4BF3-AABF-DBBB3FEB4391}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45847-C815-4D2F-9196-8E4BDD9A2551}">
  <dimension ref="A1:H14"/>
  <sheetViews>
    <sheetView workbookViewId="0">
      <selection activeCell="C6" sqref="C6:C14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161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162</v>
      </c>
      <c r="B3" s="76" t="s">
        <v>412</v>
      </c>
      <c r="C3" s="76"/>
      <c r="D3" s="14"/>
      <c r="E3" s="14"/>
      <c r="F3" s="14"/>
      <c r="G3" s="14"/>
      <c r="H3" s="14"/>
    </row>
    <row r="4" spans="1:8" ht="51" customHeight="1" x14ac:dyDescent="0.25">
      <c r="A4" s="130" t="s">
        <v>163</v>
      </c>
      <c r="B4" s="130"/>
      <c r="C4" s="130"/>
      <c r="D4" s="14"/>
      <c r="E4" s="14"/>
      <c r="F4" s="14"/>
      <c r="G4" s="14"/>
      <c r="H4" s="14"/>
    </row>
    <row r="5" spans="1:8" x14ac:dyDescent="0.25">
      <c r="A5" s="77" t="s">
        <v>164</v>
      </c>
      <c r="B5" s="77" t="s">
        <v>165</v>
      </c>
      <c r="C5" s="77" t="s">
        <v>166</v>
      </c>
      <c r="D5" s="14"/>
      <c r="E5" s="14"/>
      <c r="F5" s="14"/>
      <c r="G5" s="14"/>
      <c r="H5" s="14"/>
    </row>
    <row r="6" spans="1:8" x14ac:dyDescent="0.25">
      <c r="A6" s="78" t="s">
        <v>167</v>
      </c>
      <c r="B6" s="79"/>
      <c r="C6" s="80">
        <f ca="1">SUMIF('Kal Grund OS Nossen'!J6:M105,$A$6,'Kal Grund OS Nossen'!M6:M105)</f>
        <v>95.93</v>
      </c>
      <c r="D6" s="14"/>
      <c r="E6" s="14"/>
      <c r="F6" s="14"/>
      <c r="G6" s="14"/>
      <c r="H6" s="14"/>
    </row>
    <row r="7" spans="1:8" x14ac:dyDescent="0.25">
      <c r="A7" s="81" t="s">
        <v>168</v>
      </c>
      <c r="B7" s="79"/>
      <c r="C7" s="80">
        <f ca="1">SUMIF('Kal Grund OS Nossen'!J6:M105,$A$7,'Kal Grund OS Nossen'!M6:M105)</f>
        <v>551.79999999999995</v>
      </c>
      <c r="D7" s="14"/>
      <c r="E7" s="14"/>
      <c r="F7" s="14"/>
      <c r="G7" s="14"/>
      <c r="H7" s="14"/>
    </row>
    <row r="8" spans="1:8" x14ac:dyDescent="0.25">
      <c r="A8" s="81" t="s">
        <v>169</v>
      </c>
      <c r="B8" s="79"/>
      <c r="C8" s="80">
        <f ca="1">SUMIF('Kal Grund OS Nossen'!J6:M105,$A$8,'Kal Grund OS Nossen'!M6:M105)</f>
        <v>161.64999999999998</v>
      </c>
      <c r="D8" s="14"/>
      <c r="E8" s="14"/>
      <c r="F8" s="14"/>
      <c r="G8" s="14"/>
      <c r="H8" s="14"/>
    </row>
    <row r="9" spans="1:8" x14ac:dyDescent="0.25">
      <c r="A9" s="81" t="s">
        <v>170</v>
      </c>
      <c r="B9" s="79"/>
      <c r="C9" s="80">
        <f ca="1">SUMIF('Kal Grund OS Nossen'!J6:M105,$A$9,'Kal Grund OS Nossen'!M6:M105)</f>
        <v>26.64</v>
      </c>
      <c r="D9" s="14"/>
      <c r="E9" s="14"/>
      <c r="F9" s="14"/>
      <c r="G9" s="14"/>
      <c r="H9" s="14"/>
    </row>
    <row r="10" spans="1:8" x14ac:dyDescent="0.25">
      <c r="A10" s="81" t="s">
        <v>171</v>
      </c>
      <c r="B10" s="79"/>
      <c r="C10" s="80">
        <f ca="1">SUMIF('Kal Grund OS Nossen'!J6:M105,$A$10,'Kal Grund OS Nossen'!M6:M105)</f>
        <v>626.0200000000001</v>
      </c>
      <c r="D10" s="14"/>
      <c r="E10" s="14"/>
      <c r="F10" s="14"/>
      <c r="G10" s="14"/>
      <c r="H10" s="14"/>
    </row>
    <row r="11" spans="1:8" x14ac:dyDescent="0.25">
      <c r="A11" s="81" t="s">
        <v>172</v>
      </c>
      <c r="B11" s="79"/>
      <c r="C11" s="80">
        <f ca="1">SUMIF('Kal Grund OS Nossen'!J6:M105,$A$11,'Kal Grund OS Nossen'!M6:M105)</f>
        <v>72</v>
      </c>
      <c r="D11" s="14"/>
      <c r="E11" s="14"/>
      <c r="F11" s="14"/>
      <c r="G11" s="14"/>
      <c r="H11" s="14"/>
    </row>
    <row r="12" spans="1:8" x14ac:dyDescent="0.25">
      <c r="A12" s="81" t="s">
        <v>173</v>
      </c>
      <c r="B12" s="79"/>
      <c r="C12" s="80">
        <f ca="1">SUMIF('Kal Grund OS Nossen'!J6:M105,$A$12,'Kal Grund OS Nossen'!M6:M105)</f>
        <v>1531.9199999999994</v>
      </c>
      <c r="D12" s="14"/>
      <c r="E12" s="14"/>
      <c r="F12" s="14"/>
      <c r="G12" s="14"/>
      <c r="H12" s="14"/>
    </row>
    <row r="13" spans="1:8" x14ac:dyDescent="0.25">
      <c r="A13" s="81" t="s">
        <v>174</v>
      </c>
      <c r="B13" s="79"/>
      <c r="C13" s="80">
        <f ca="1">SUMIF('Kal Grund OS Nossen'!J6:M105,$A$13,'Kal Grund OS Nossen'!M6:M105)</f>
        <v>654.05999999999995</v>
      </c>
      <c r="D13" s="14"/>
      <c r="E13" s="14"/>
      <c r="F13" s="14"/>
      <c r="G13" s="14"/>
      <c r="H13" s="14"/>
    </row>
    <row r="14" spans="1:8" x14ac:dyDescent="0.25">
      <c r="A14" s="82" t="s">
        <v>175</v>
      </c>
      <c r="B14" s="79"/>
      <c r="C14" s="80">
        <f ca="1">SUMIF('Kal Grund OS Nossen'!J6:M105,$A$14,'Kal Grund OS Nossen'!M6:M105)</f>
        <v>78.48</v>
      </c>
    </row>
  </sheetData>
  <sheetProtection algorithmName="SHA-512" hashValue="Vh8EdTHLH2BshHg6jvm1l0Gai7Ia0ZaqBYAiEOqdhJxjENAdwnsuiTTMVnsSq4u4wOEZPrMLzAuFOYkg3alU1A==" saltValue="FPxvCcFd36fmYZiuMpOWJA==" spinCount="100000" sheet="1" objects="1" scenarios="1" formatCells="0" formatColumns="0" formatRows="0" insertColumns="0" insertRows="0" insertHyperlinks="0" deleteColumns="0" deleteRows="0"/>
  <protectedRanges>
    <protectedRange sqref="B6:B14" name="Bereich1"/>
  </protectedRanges>
  <mergeCells count="1">
    <mergeCell ref="A4:C4"/>
  </mergeCells>
  <hyperlinks>
    <hyperlink ref="C1" location="Inhaltsverzeichnis!A1" display="Zurück zum Inhaltsverzeichnis" xr:uid="{EC5C571A-BD83-4D08-9413-8922DD40AC8F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C65C0-A57C-41A7-A4C9-AE9FDCA7A4C3}">
  <dimension ref="A1:S105"/>
  <sheetViews>
    <sheetView workbookViewId="0">
      <selection activeCell="B2" sqref="B2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162</v>
      </c>
      <c r="B3" s="14" t="s">
        <v>412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177</v>
      </c>
      <c r="B4" s="77" t="s">
        <v>178</v>
      </c>
      <c r="C4" s="84" t="s">
        <v>179</v>
      </c>
      <c r="D4" s="84" t="s">
        <v>180</v>
      </c>
      <c r="E4" s="77" t="s">
        <v>181</v>
      </c>
      <c r="F4" s="84" t="s">
        <v>182</v>
      </c>
      <c r="G4" s="77" t="s">
        <v>183</v>
      </c>
      <c r="H4" s="77" t="s">
        <v>184</v>
      </c>
      <c r="I4" s="77" t="s">
        <v>185</v>
      </c>
      <c r="J4" s="77" t="s">
        <v>186</v>
      </c>
      <c r="K4" s="77" t="s">
        <v>187</v>
      </c>
      <c r="L4" s="77" t="s">
        <v>222</v>
      </c>
      <c r="M4" s="77" t="s">
        <v>188</v>
      </c>
      <c r="N4" s="77" t="s">
        <v>189</v>
      </c>
      <c r="O4" s="77" t="s">
        <v>190</v>
      </c>
      <c r="P4" s="77" t="s">
        <v>191</v>
      </c>
      <c r="Q4" s="77" t="s">
        <v>192</v>
      </c>
      <c r="R4" s="77" t="s">
        <v>193</v>
      </c>
      <c r="S4" s="77" t="s">
        <v>194</v>
      </c>
    </row>
    <row r="5" spans="1:19" x14ac:dyDescent="0.25">
      <c r="A5" s="85" t="s">
        <v>195</v>
      </c>
      <c r="B5" s="62"/>
      <c r="C5" s="62"/>
      <c r="D5" s="62"/>
      <c r="E5" s="62"/>
      <c r="F5" s="62"/>
      <c r="G5" s="86">
        <f>SUM(G6:G105)</f>
        <v>3798.4999999999995</v>
      </c>
      <c r="H5" s="86">
        <f t="shared" ref="H5:I5" si="0">SUM(H6:H105)</f>
        <v>0</v>
      </c>
      <c r="I5" s="86">
        <f t="shared" si="0"/>
        <v>4</v>
      </c>
      <c r="J5" s="87"/>
      <c r="K5" s="87"/>
      <c r="L5" s="88">
        <f>MAX(L6:L65)</f>
        <v>1</v>
      </c>
      <c r="M5" s="86">
        <f>SUM(M6:M105)</f>
        <v>3798.4999999999995</v>
      </c>
      <c r="N5" s="87"/>
      <c r="O5" s="87"/>
      <c r="P5" s="86">
        <f>SUM(P6:P105)</f>
        <v>0</v>
      </c>
      <c r="Q5" s="86">
        <f t="shared" ref="Q5:S5" si="1">SUM(Q6:Q105)</f>
        <v>0</v>
      </c>
      <c r="R5" s="86">
        <f t="shared" si="1"/>
        <v>0</v>
      </c>
      <c r="S5" s="86">
        <f t="shared" si="1"/>
        <v>0</v>
      </c>
    </row>
    <row r="6" spans="1:19" x14ac:dyDescent="0.25">
      <c r="A6" s="62">
        <v>1</v>
      </c>
      <c r="B6" s="89" t="s">
        <v>233</v>
      </c>
      <c r="C6" s="89" t="s">
        <v>198</v>
      </c>
      <c r="D6" s="89" t="s">
        <v>208</v>
      </c>
      <c r="E6" s="62" t="s">
        <v>234</v>
      </c>
      <c r="F6" s="62" t="s">
        <v>200</v>
      </c>
      <c r="G6" s="106">
        <v>10.27</v>
      </c>
      <c r="H6" s="87"/>
      <c r="I6" s="87"/>
      <c r="J6" s="89" t="s">
        <v>170</v>
      </c>
      <c r="K6" s="90" t="s">
        <v>219</v>
      </c>
      <c r="L6" s="87">
        <f>VLOOKUP(K6,Reinigungstage!$A$10:$H$31,8,FALSE)</f>
        <v>1</v>
      </c>
      <c r="M6" s="87">
        <f t="shared" ref="M6:M65" si="2">ROUND(IF(L6=0,0,L6*G6),2)</f>
        <v>10.27</v>
      </c>
      <c r="N6" s="91">
        <f>VLOOKUP(J6,'Lei Grund OS Nossen'!$A$6:$B$14,2,0)</f>
        <v>0</v>
      </c>
      <c r="O6" s="92" t="str">
        <f ca="1">'SVS GrundRG'!$H$61</f>
        <v/>
      </c>
      <c r="P6" s="87">
        <f t="shared" ref="P6:P65" si="3">ROUND(IF(N6=0,0,M6/N6),2)</f>
        <v>0</v>
      </c>
      <c r="Q6" s="87">
        <f t="shared" ref="Q6:Q65" si="4">ROUND(IF(P6=0,0,P6*O6),2)</f>
        <v>0</v>
      </c>
      <c r="R6" s="87">
        <f t="shared" ref="R6:R65" si="5">ROUND(IF(P6=0,0,P6/L6),2)</f>
        <v>0</v>
      </c>
      <c r="S6" s="87">
        <f t="shared" ref="S6:S65" si="6">ROUND(IF(Q6=0,0,Q6/L6),2)</f>
        <v>0</v>
      </c>
    </row>
    <row r="7" spans="1:19" x14ac:dyDescent="0.25">
      <c r="A7" s="62">
        <v>2</v>
      </c>
      <c r="B7" s="93" t="s">
        <v>257</v>
      </c>
      <c r="C7" s="89" t="s">
        <v>198</v>
      </c>
      <c r="D7" s="89" t="s">
        <v>208</v>
      </c>
      <c r="E7" s="62" t="s">
        <v>235</v>
      </c>
      <c r="F7" s="62" t="s">
        <v>200</v>
      </c>
      <c r="G7" s="106">
        <v>16.37</v>
      </c>
      <c r="H7" s="87"/>
      <c r="I7" s="87"/>
      <c r="J7" s="89" t="s">
        <v>170</v>
      </c>
      <c r="K7" s="90" t="s">
        <v>219</v>
      </c>
      <c r="L7" s="87">
        <f>VLOOKUP(K7,Reinigungstage!$A$10:$H$31,8,FALSE)</f>
        <v>1</v>
      </c>
      <c r="M7" s="87">
        <f t="shared" si="2"/>
        <v>16.37</v>
      </c>
      <c r="N7" s="91">
        <f>VLOOKUP(J7,'Lei Grund OS Nossen'!$A$6:$B$14,2,0)</f>
        <v>0</v>
      </c>
      <c r="O7" s="92" t="str">
        <f ca="1">'SVS GrundRG'!$H$61</f>
        <v/>
      </c>
      <c r="P7" s="87">
        <f t="shared" si="3"/>
        <v>0</v>
      </c>
      <c r="Q7" s="87">
        <f t="shared" si="4"/>
        <v>0</v>
      </c>
      <c r="R7" s="87">
        <f t="shared" si="5"/>
        <v>0</v>
      </c>
      <c r="S7" s="87">
        <f t="shared" si="6"/>
        <v>0</v>
      </c>
    </row>
    <row r="8" spans="1:19" x14ac:dyDescent="0.25">
      <c r="A8" s="62">
        <v>3</v>
      </c>
      <c r="B8" s="89" t="s">
        <v>258</v>
      </c>
      <c r="C8" s="89" t="s">
        <v>198</v>
      </c>
      <c r="D8" s="89" t="s">
        <v>208</v>
      </c>
      <c r="E8" s="62" t="s">
        <v>236</v>
      </c>
      <c r="F8" s="62" t="s">
        <v>200</v>
      </c>
      <c r="G8" s="106">
        <v>6.12</v>
      </c>
      <c r="H8" s="87"/>
      <c r="I8" s="87"/>
      <c r="J8" s="89" t="s">
        <v>174</v>
      </c>
      <c r="K8" s="90" t="s">
        <v>219</v>
      </c>
      <c r="L8" s="87">
        <f>VLOOKUP(K8,Reinigungstage!$A$10:$H$31,8,FALSE)</f>
        <v>1</v>
      </c>
      <c r="M8" s="87">
        <f t="shared" si="2"/>
        <v>6.12</v>
      </c>
      <c r="N8" s="91">
        <f>VLOOKUP(J8,'Lei Grund OS Nossen'!$A$6:$B$14,2,0)</f>
        <v>0</v>
      </c>
      <c r="O8" s="92" t="str">
        <f ca="1">'SVS GrundRG'!$H$61</f>
        <v/>
      </c>
      <c r="P8" s="87">
        <f t="shared" si="3"/>
        <v>0</v>
      </c>
      <c r="Q8" s="87">
        <f t="shared" si="4"/>
        <v>0</v>
      </c>
      <c r="R8" s="87">
        <f t="shared" si="5"/>
        <v>0</v>
      </c>
      <c r="S8" s="87">
        <f t="shared" si="6"/>
        <v>0</v>
      </c>
    </row>
    <row r="9" spans="1:19" x14ac:dyDescent="0.25">
      <c r="A9" s="62">
        <v>4</v>
      </c>
      <c r="B9" s="89" t="s">
        <v>259</v>
      </c>
      <c r="C9" s="89" t="s">
        <v>198</v>
      </c>
      <c r="D9" s="89" t="s">
        <v>208</v>
      </c>
      <c r="E9" s="62" t="s">
        <v>237</v>
      </c>
      <c r="F9" s="62" t="s">
        <v>229</v>
      </c>
      <c r="G9" s="106">
        <v>28.650000000000002</v>
      </c>
      <c r="H9" s="87"/>
      <c r="I9" s="87"/>
      <c r="J9" s="89" t="s">
        <v>174</v>
      </c>
      <c r="K9" s="90" t="s">
        <v>219</v>
      </c>
      <c r="L9" s="87">
        <f>VLOOKUP(K9,Reinigungstage!$A$10:$H$31,8,FALSE)</f>
        <v>1</v>
      </c>
      <c r="M9" s="87">
        <f t="shared" si="2"/>
        <v>28.65</v>
      </c>
      <c r="N9" s="91">
        <f>VLOOKUP(J9,'Lei Grund OS Nossen'!$A$6:$B$14,2,0)</f>
        <v>0</v>
      </c>
      <c r="O9" s="92" t="str">
        <f ca="1">'SVS GrundRG'!$H$61</f>
        <v/>
      </c>
      <c r="P9" s="87">
        <f t="shared" si="3"/>
        <v>0</v>
      </c>
      <c r="Q9" s="87">
        <f t="shared" si="4"/>
        <v>0</v>
      </c>
      <c r="R9" s="87">
        <f t="shared" si="5"/>
        <v>0</v>
      </c>
      <c r="S9" s="87">
        <f t="shared" si="6"/>
        <v>0</v>
      </c>
    </row>
    <row r="10" spans="1:19" x14ac:dyDescent="0.25">
      <c r="A10" s="62">
        <v>5</v>
      </c>
      <c r="B10" s="89" t="s">
        <v>260</v>
      </c>
      <c r="C10" s="89" t="s">
        <v>198</v>
      </c>
      <c r="D10" s="89" t="s">
        <v>208</v>
      </c>
      <c r="E10" s="62" t="s">
        <v>238</v>
      </c>
      <c r="F10" s="62" t="s">
        <v>229</v>
      </c>
      <c r="G10" s="106">
        <v>32.42</v>
      </c>
      <c r="H10" s="87"/>
      <c r="I10" s="87"/>
      <c r="J10" s="89" t="s">
        <v>171</v>
      </c>
      <c r="K10" s="90" t="s">
        <v>219</v>
      </c>
      <c r="L10" s="87">
        <f>VLOOKUP(K10,Reinigungstage!$A$10:$H$31,8,FALSE)</f>
        <v>1</v>
      </c>
      <c r="M10" s="87">
        <f t="shared" si="2"/>
        <v>32.42</v>
      </c>
      <c r="N10" s="91">
        <f>VLOOKUP(J10,'Lei Grund OS Nossen'!$A$6:$B$14,2,0)</f>
        <v>0</v>
      </c>
      <c r="O10" s="92" t="str">
        <f ca="1">'SVS GrundRG'!$H$61</f>
        <v/>
      </c>
      <c r="P10" s="87">
        <f t="shared" si="3"/>
        <v>0</v>
      </c>
      <c r="Q10" s="87">
        <f t="shared" si="4"/>
        <v>0</v>
      </c>
      <c r="R10" s="87">
        <f t="shared" si="5"/>
        <v>0</v>
      </c>
      <c r="S10" s="87">
        <f t="shared" si="6"/>
        <v>0</v>
      </c>
    </row>
    <row r="11" spans="1:19" x14ac:dyDescent="0.25">
      <c r="A11" s="62">
        <v>6</v>
      </c>
      <c r="B11" s="89" t="s">
        <v>261</v>
      </c>
      <c r="C11" s="89" t="s">
        <v>198</v>
      </c>
      <c r="D11" s="89" t="s">
        <v>208</v>
      </c>
      <c r="E11" s="107" t="s">
        <v>239</v>
      </c>
      <c r="F11" s="62" t="s">
        <v>229</v>
      </c>
      <c r="G11" s="106">
        <v>40.15</v>
      </c>
      <c r="H11" s="87"/>
      <c r="I11" s="87"/>
      <c r="J11" s="89" t="s">
        <v>171</v>
      </c>
      <c r="K11" s="90" t="s">
        <v>219</v>
      </c>
      <c r="L11" s="87">
        <f>VLOOKUP(K11,Reinigungstage!$A$10:$H$31,8,FALSE)</f>
        <v>1</v>
      </c>
      <c r="M11" s="87">
        <f t="shared" si="2"/>
        <v>40.15</v>
      </c>
      <c r="N11" s="91">
        <f>VLOOKUP(J11,'Lei Grund OS Nossen'!$A$6:$B$14,2,0)</f>
        <v>0</v>
      </c>
      <c r="O11" s="92" t="str">
        <f ca="1">'SVS GrundRG'!$H$61</f>
        <v/>
      </c>
      <c r="P11" s="87">
        <f t="shared" si="3"/>
        <v>0</v>
      </c>
      <c r="Q11" s="87">
        <f t="shared" si="4"/>
        <v>0</v>
      </c>
      <c r="R11" s="87">
        <f t="shared" si="5"/>
        <v>0</v>
      </c>
      <c r="S11" s="87">
        <f t="shared" si="6"/>
        <v>0</v>
      </c>
    </row>
    <row r="12" spans="1:19" x14ac:dyDescent="0.25">
      <c r="A12" s="62">
        <v>7</v>
      </c>
      <c r="B12" s="89" t="s">
        <v>262</v>
      </c>
      <c r="C12" s="89" t="s">
        <v>198</v>
      </c>
      <c r="D12" s="89" t="s">
        <v>208</v>
      </c>
      <c r="E12" s="107" t="s">
        <v>240</v>
      </c>
      <c r="F12" s="110" t="s">
        <v>197</v>
      </c>
      <c r="G12" s="109">
        <v>16.41</v>
      </c>
      <c r="H12" s="87"/>
      <c r="I12" s="87"/>
      <c r="J12" s="89" t="s">
        <v>172</v>
      </c>
      <c r="K12" s="90" t="s">
        <v>219</v>
      </c>
      <c r="L12" s="87">
        <f>VLOOKUP(K12,Reinigungstage!$A$10:$H$31,8,FALSE)</f>
        <v>1</v>
      </c>
      <c r="M12" s="87">
        <f t="shared" si="2"/>
        <v>16.41</v>
      </c>
      <c r="N12" s="91">
        <f>VLOOKUP(J12,'Lei Grund OS Nossen'!$A$6:$B$14,2,0)</f>
        <v>0</v>
      </c>
      <c r="O12" s="92" t="str">
        <f ca="1">'SVS GrundRG'!$H$61</f>
        <v/>
      </c>
      <c r="P12" s="87">
        <f t="shared" si="3"/>
        <v>0</v>
      </c>
      <c r="Q12" s="87">
        <f t="shared" si="4"/>
        <v>0</v>
      </c>
      <c r="R12" s="87">
        <f t="shared" si="5"/>
        <v>0</v>
      </c>
      <c r="S12" s="87">
        <f t="shared" si="6"/>
        <v>0</v>
      </c>
    </row>
    <row r="13" spans="1:19" x14ac:dyDescent="0.25">
      <c r="A13" s="62">
        <v>8</v>
      </c>
      <c r="B13" s="89" t="s">
        <v>263</v>
      </c>
      <c r="C13" s="89" t="s">
        <v>198</v>
      </c>
      <c r="D13" s="89" t="s">
        <v>208</v>
      </c>
      <c r="E13" s="107" t="s">
        <v>241</v>
      </c>
      <c r="F13" s="110" t="s">
        <v>197</v>
      </c>
      <c r="G13" s="109">
        <v>84.91</v>
      </c>
      <c r="H13" s="87"/>
      <c r="I13" s="87"/>
      <c r="J13" s="89" t="s">
        <v>173</v>
      </c>
      <c r="K13" s="90" t="s">
        <v>219</v>
      </c>
      <c r="L13" s="87">
        <f>VLOOKUP(K13,Reinigungstage!$A$10:$H$31,8,FALSE)</f>
        <v>1</v>
      </c>
      <c r="M13" s="87">
        <f t="shared" si="2"/>
        <v>84.91</v>
      </c>
      <c r="N13" s="91">
        <f>VLOOKUP(J13,'Lei Grund OS Nossen'!$A$6:$B$14,2,0)</f>
        <v>0</v>
      </c>
      <c r="O13" s="92" t="str">
        <f ca="1">'SVS GrundRG'!$H$61</f>
        <v/>
      </c>
      <c r="P13" s="87">
        <f t="shared" si="3"/>
        <v>0</v>
      </c>
      <c r="Q13" s="87">
        <f t="shared" si="4"/>
        <v>0</v>
      </c>
      <c r="R13" s="87">
        <f t="shared" si="5"/>
        <v>0</v>
      </c>
      <c r="S13" s="87">
        <f t="shared" si="6"/>
        <v>0</v>
      </c>
    </row>
    <row r="14" spans="1:19" x14ac:dyDescent="0.25">
      <c r="A14" s="62">
        <v>9</v>
      </c>
      <c r="B14" s="93" t="s">
        <v>264</v>
      </c>
      <c r="C14" s="89" t="s">
        <v>198</v>
      </c>
      <c r="D14" s="89" t="s">
        <v>208</v>
      </c>
      <c r="E14" s="108" t="s">
        <v>242</v>
      </c>
      <c r="F14" s="110" t="s">
        <v>229</v>
      </c>
      <c r="G14" s="106">
        <v>15.52</v>
      </c>
      <c r="H14" s="87"/>
      <c r="I14" s="87"/>
      <c r="J14" s="89" t="s">
        <v>174</v>
      </c>
      <c r="K14" s="90" t="s">
        <v>219</v>
      </c>
      <c r="L14" s="87">
        <f>VLOOKUP(K14,Reinigungstage!$A$10:$H$31,8,FALSE)</f>
        <v>1</v>
      </c>
      <c r="M14" s="87">
        <f t="shared" si="2"/>
        <v>15.52</v>
      </c>
      <c r="N14" s="91">
        <f>VLOOKUP(J14,'Lei Grund OS Nossen'!$A$6:$B$14,2,0)</f>
        <v>0</v>
      </c>
      <c r="O14" s="92" t="str">
        <f ca="1">'SVS GrundRG'!$H$61</f>
        <v/>
      </c>
      <c r="P14" s="87">
        <f t="shared" si="3"/>
        <v>0</v>
      </c>
      <c r="Q14" s="87">
        <f t="shared" si="4"/>
        <v>0</v>
      </c>
      <c r="R14" s="87">
        <f t="shared" si="5"/>
        <v>0</v>
      </c>
      <c r="S14" s="87">
        <f t="shared" si="6"/>
        <v>0</v>
      </c>
    </row>
    <row r="15" spans="1:19" x14ac:dyDescent="0.25">
      <c r="A15" s="62">
        <v>10</v>
      </c>
      <c r="B15" s="89" t="s">
        <v>265</v>
      </c>
      <c r="C15" s="89" t="s">
        <v>198</v>
      </c>
      <c r="D15" s="89" t="s">
        <v>208</v>
      </c>
      <c r="E15" s="108" t="s">
        <v>243</v>
      </c>
      <c r="F15" s="110" t="s">
        <v>197</v>
      </c>
      <c r="G15" s="106">
        <v>93.61</v>
      </c>
      <c r="H15" s="87"/>
      <c r="I15" s="87"/>
      <c r="J15" s="89" t="s">
        <v>173</v>
      </c>
      <c r="K15" s="90" t="s">
        <v>219</v>
      </c>
      <c r="L15" s="87">
        <f>VLOOKUP(K15,Reinigungstage!$A$10:$H$31,8,FALSE)</f>
        <v>1</v>
      </c>
      <c r="M15" s="87">
        <f t="shared" si="2"/>
        <v>93.61</v>
      </c>
      <c r="N15" s="91">
        <f>VLOOKUP(J15,'Lei Grund OS Nossen'!$A$6:$B$14,2,0)</f>
        <v>0</v>
      </c>
      <c r="O15" s="92" t="str">
        <f ca="1">'SVS GrundRG'!$H$61</f>
        <v/>
      </c>
      <c r="P15" s="87">
        <f t="shared" si="3"/>
        <v>0</v>
      </c>
      <c r="Q15" s="87">
        <f t="shared" si="4"/>
        <v>0</v>
      </c>
      <c r="R15" s="87">
        <f t="shared" si="5"/>
        <v>0</v>
      </c>
      <c r="S15" s="87">
        <f t="shared" si="6"/>
        <v>0</v>
      </c>
    </row>
    <row r="16" spans="1:19" x14ac:dyDescent="0.25">
      <c r="A16" s="62">
        <v>11</v>
      </c>
      <c r="B16" s="89" t="s">
        <v>266</v>
      </c>
      <c r="C16" s="89" t="s">
        <v>198</v>
      </c>
      <c r="D16" s="89" t="s">
        <v>208</v>
      </c>
      <c r="E16" s="108" t="s">
        <v>244</v>
      </c>
      <c r="F16" s="110" t="s">
        <v>229</v>
      </c>
      <c r="G16" s="106">
        <v>32.21</v>
      </c>
      <c r="H16" s="87"/>
      <c r="I16" s="87"/>
      <c r="J16" s="89" t="s">
        <v>171</v>
      </c>
      <c r="K16" s="90" t="s">
        <v>219</v>
      </c>
      <c r="L16" s="87">
        <f>VLOOKUP(K16,Reinigungstage!$A$10:$H$31,8,FALSE)</f>
        <v>1</v>
      </c>
      <c r="M16" s="87">
        <f t="shared" si="2"/>
        <v>32.21</v>
      </c>
      <c r="N16" s="91">
        <f>VLOOKUP(J16,'Lei Grund OS Nossen'!$A$6:$B$14,2,0)</f>
        <v>0</v>
      </c>
      <c r="O16" s="92" t="str">
        <f ca="1">'SVS GrundRG'!$H$61</f>
        <v/>
      </c>
      <c r="P16" s="87">
        <f t="shared" si="3"/>
        <v>0</v>
      </c>
      <c r="Q16" s="87">
        <f t="shared" si="4"/>
        <v>0</v>
      </c>
      <c r="R16" s="87">
        <f t="shared" si="5"/>
        <v>0</v>
      </c>
      <c r="S16" s="87">
        <f t="shared" si="6"/>
        <v>0</v>
      </c>
    </row>
    <row r="17" spans="1:19" x14ac:dyDescent="0.25">
      <c r="A17" s="62">
        <v>12</v>
      </c>
      <c r="B17" s="93" t="s">
        <v>267</v>
      </c>
      <c r="C17" s="89" t="s">
        <v>198</v>
      </c>
      <c r="D17" s="89" t="s">
        <v>208</v>
      </c>
      <c r="E17" s="108" t="s">
        <v>245</v>
      </c>
      <c r="F17" s="110" t="s">
        <v>229</v>
      </c>
      <c r="G17" s="106">
        <v>30.22</v>
      </c>
      <c r="H17" s="87"/>
      <c r="I17" s="87"/>
      <c r="J17" s="89" t="s">
        <v>174</v>
      </c>
      <c r="K17" s="90" t="s">
        <v>219</v>
      </c>
      <c r="L17" s="87">
        <f>VLOOKUP(K17,Reinigungstage!$A$10:$H$31,8,FALSE)</f>
        <v>1</v>
      </c>
      <c r="M17" s="87">
        <f t="shared" si="2"/>
        <v>30.22</v>
      </c>
      <c r="N17" s="91">
        <f>VLOOKUP(J17,'Lei Grund OS Nossen'!$A$6:$B$14,2,0)</f>
        <v>0</v>
      </c>
      <c r="O17" s="92" t="str">
        <f ca="1">'SVS GrundRG'!$H$61</f>
        <v/>
      </c>
      <c r="P17" s="87">
        <f t="shared" si="3"/>
        <v>0</v>
      </c>
      <c r="Q17" s="87">
        <f t="shared" si="4"/>
        <v>0</v>
      </c>
      <c r="R17" s="87">
        <f t="shared" si="5"/>
        <v>0</v>
      </c>
      <c r="S17" s="87">
        <f t="shared" si="6"/>
        <v>0</v>
      </c>
    </row>
    <row r="18" spans="1:19" x14ac:dyDescent="0.25">
      <c r="A18" s="62">
        <v>13</v>
      </c>
      <c r="B18" s="89" t="s">
        <v>268</v>
      </c>
      <c r="C18" s="89" t="s">
        <v>198</v>
      </c>
      <c r="D18" s="89" t="s">
        <v>208</v>
      </c>
      <c r="E18" s="108" t="s">
        <v>246</v>
      </c>
      <c r="F18" s="110" t="s">
        <v>197</v>
      </c>
      <c r="G18" s="106">
        <v>17.73</v>
      </c>
      <c r="H18" s="87"/>
      <c r="I18" s="87"/>
      <c r="J18" s="89" t="s">
        <v>168</v>
      </c>
      <c r="K18" s="90" t="s">
        <v>219</v>
      </c>
      <c r="L18" s="87">
        <f>VLOOKUP(K18,Reinigungstage!$A$10:$H$31,8,FALSE)</f>
        <v>1</v>
      </c>
      <c r="M18" s="87">
        <f t="shared" si="2"/>
        <v>17.73</v>
      </c>
      <c r="N18" s="91">
        <f>VLOOKUP(J18,'Lei Grund OS Nossen'!$A$6:$B$14,2,0)</f>
        <v>0</v>
      </c>
      <c r="O18" s="92" t="str">
        <f ca="1">'SVS GrundRG'!$H$61</f>
        <v/>
      </c>
      <c r="P18" s="87">
        <f t="shared" si="3"/>
        <v>0</v>
      </c>
      <c r="Q18" s="87">
        <f t="shared" si="4"/>
        <v>0</v>
      </c>
      <c r="R18" s="87">
        <f t="shared" si="5"/>
        <v>0</v>
      </c>
      <c r="S18" s="87">
        <f t="shared" si="6"/>
        <v>0</v>
      </c>
    </row>
    <row r="19" spans="1:19" x14ac:dyDescent="0.25">
      <c r="A19" s="62">
        <v>14</v>
      </c>
      <c r="B19" s="89" t="s">
        <v>269</v>
      </c>
      <c r="C19" s="89" t="s">
        <v>198</v>
      </c>
      <c r="D19" s="89" t="s">
        <v>208</v>
      </c>
      <c r="E19" s="108" t="s">
        <v>240</v>
      </c>
      <c r="F19" s="110" t="s">
        <v>197</v>
      </c>
      <c r="G19" s="106">
        <v>50.47</v>
      </c>
      <c r="H19" s="87"/>
      <c r="I19" s="87"/>
      <c r="J19" s="89" t="s">
        <v>172</v>
      </c>
      <c r="K19" s="90" t="s">
        <v>219</v>
      </c>
      <c r="L19" s="87">
        <f>VLOOKUP(K19,Reinigungstage!$A$10:$H$31,8,FALSE)</f>
        <v>1</v>
      </c>
      <c r="M19" s="87">
        <f t="shared" si="2"/>
        <v>50.47</v>
      </c>
      <c r="N19" s="91">
        <f>VLOOKUP(J19,'Lei Grund OS Nossen'!$A$6:$B$14,2,0)</f>
        <v>0</v>
      </c>
      <c r="O19" s="92" t="str">
        <f ca="1">'SVS GrundRG'!$H$61</f>
        <v/>
      </c>
      <c r="P19" s="87">
        <f t="shared" si="3"/>
        <v>0</v>
      </c>
      <c r="Q19" s="87">
        <f t="shared" si="4"/>
        <v>0</v>
      </c>
      <c r="R19" s="87">
        <f t="shared" si="5"/>
        <v>0</v>
      </c>
      <c r="S19" s="87">
        <f t="shared" si="6"/>
        <v>0</v>
      </c>
    </row>
    <row r="20" spans="1:19" x14ac:dyDescent="0.25">
      <c r="A20" s="62">
        <v>15</v>
      </c>
      <c r="B20" s="93" t="s">
        <v>270</v>
      </c>
      <c r="C20" s="89" t="s">
        <v>198</v>
      </c>
      <c r="D20" s="89" t="s">
        <v>208</v>
      </c>
      <c r="E20" s="108" t="s">
        <v>247</v>
      </c>
      <c r="F20" s="110" t="s">
        <v>197</v>
      </c>
      <c r="G20" s="109">
        <v>50.47</v>
      </c>
      <c r="H20" s="87"/>
      <c r="I20" s="87"/>
      <c r="J20" s="89" t="s">
        <v>168</v>
      </c>
      <c r="K20" s="90" t="s">
        <v>219</v>
      </c>
      <c r="L20" s="87">
        <f>VLOOKUP(K20,Reinigungstage!$A$10:$H$31,8,FALSE)</f>
        <v>1</v>
      </c>
      <c r="M20" s="87">
        <f t="shared" si="2"/>
        <v>50.47</v>
      </c>
      <c r="N20" s="91">
        <f>VLOOKUP(J20,'Lei Grund OS Nossen'!$A$6:$B$14,2,0)</f>
        <v>0</v>
      </c>
      <c r="O20" s="92" t="str">
        <f ca="1">'SVS GrundRG'!$H$61</f>
        <v/>
      </c>
      <c r="P20" s="87">
        <f t="shared" si="3"/>
        <v>0</v>
      </c>
      <c r="Q20" s="87">
        <f t="shared" si="4"/>
        <v>0</v>
      </c>
      <c r="R20" s="87">
        <f t="shared" si="5"/>
        <v>0</v>
      </c>
      <c r="S20" s="87">
        <f t="shared" si="6"/>
        <v>0</v>
      </c>
    </row>
    <row r="21" spans="1:19" x14ac:dyDescent="0.25">
      <c r="A21" s="62">
        <v>16</v>
      </c>
      <c r="B21" s="89" t="s">
        <v>271</v>
      </c>
      <c r="C21" s="89" t="s">
        <v>198</v>
      </c>
      <c r="D21" s="89" t="s">
        <v>208</v>
      </c>
      <c r="E21" s="108" t="s">
        <v>248</v>
      </c>
      <c r="F21" s="110" t="s">
        <v>197</v>
      </c>
      <c r="G21" s="109">
        <v>50.47</v>
      </c>
      <c r="H21" s="87"/>
      <c r="I21" s="87"/>
      <c r="J21" s="89" t="s">
        <v>175</v>
      </c>
      <c r="K21" s="90" t="s">
        <v>219</v>
      </c>
      <c r="L21" s="87">
        <f>VLOOKUP(K21,Reinigungstage!$A$10:$H$31,8,FALSE)</f>
        <v>1</v>
      </c>
      <c r="M21" s="87">
        <f t="shared" si="2"/>
        <v>50.47</v>
      </c>
      <c r="N21" s="91">
        <f>VLOOKUP(J21,'Lei Grund OS Nossen'!$A$6:$B$14,2,0)</f>
        <v>0</v>
      </c>
      <c r="O21" s="92" t="str">
        <f ca="1">'SVS GrundRG'!$H$61</f>
        <v/>
      </c>
      <c r="P21" s="87">
        <f t="shared" si="3"/>
        <v>0</v>
      </c>
      <c r="Q21" s="87">
        <f t="shared" si="4"/>
        <v>0</v>
      </c>
      <c r="R21" s="87">
        <f t="shared" si="5"/>
        <v>0</v>
      </c>
      <c r="S21" s="87">
        <f t="shared" si="6"/>
        <v>0</v>
      </c>
    </row>
    <row r="22" spans="1:19" x14ac:dyDescent="0.25">
      <c r="A22" s="62">
        <v>17</v>
      </c>
      <c r="B22" s="89" t="s">
        <v>272</v>
      </c>
      <c r="C22" s="89" t="s">
        <v>198</v>
      </c>
      <c r="D22" s="89" t="s">
        <v>208</v>
      </c>
      <c r="E22" s="108" t="s">
        <v>249</v>
      </c>
      <c r="F22" s="110" t="s">
        <v>229</v>
      </c>
      <c r="G22" s="109">
        <v>17.73</v>
      </c>
      <c r="H22" s="87"/>
      <c r="I22" s="87"/>
      <c r="J22" s="89" t="s">
        <v>174</v>
      </c>
      <c r="K22" s="90" t="s">
        <v>219</v>
      </c>
      <c r="L22" s="87">
        <f>VLOOKUP(K22,Reinigungstage!$A$10:$H$31,8,FALSE)</f>
        <v>1</v>
      </c>
      <c r="M22" s="87">
        <f t="shared" si="2"/>
        <v>17.73</v>
      </c>
      <c r="N22" s="91">
        <f>VLOOKUP(J22,'Lei Grund OS Nossen'!$A$6:$B$14,2,0)</f>
        <v>0</v>
      </c>
      <c r="O22" s="92" t="str">
        <f ca="1">'SVS GrundRG'!$H$61</f>
        <v/>
      </c>
      <c r="P22" s="87">
        <f t="shared" si="3"/>
        <v>0</v>
      </c>
      <c r="Q22" s="87">
        <f t="shared" si="4"/>
        <v>0</v>
      </c>
      <c r="R22" s="87">
        <f t="shared" si="5"/>
        <v>0</v>
      </c>
      <c r="S22" s="87">
        <f t="shared" si="6"/>
        <v>0</v>
      </c>
    </row>
    <row r="23" spans="1:19" x14ac:dyDescent="0.25">
      <c r="A23" s="62">
        <v>18</v>
      </c>
      <c r="B23" s="93" t="s">
        <v>273</v>
      </c>
      <c r="C23" s="89" t="s">
        <v>198</v>
      </c>
      <c r="D23" s="89" t="s">
        <v>208</v>
      </c>
      <c r="E23" s="108" t="s">
        <v>250</v>
      </c>
      <c r="F23" s="110" t="s">
        <v>200</v>
      </c>
      <c r="G23" s="106">
        <v>28.01</v>
      </c>
      <c r="H23" s="87"/>
      <c r="I23" s="87"/>
      <c r="J23" s="89" t="s">
        <v>175</v>
      </c>
      <c r="K23" s="90" t="s">
        <v>219</v>
      </c>
      <c r="L23" s="87">
        <f>VLOOKUP(K23,Reinigungstage!$A$10:$H$31,8,FALSE)</f>
        <v>1</v>
      </c>
      <c r="M23" s="87">
        <f t="shared" si="2"/>
        <v>28.01</v>
      </c>
      <c r="N23" s="91">
        <f>VLOOKUP(J23,'Lei Grund OS Nossen'!$A$6:$B$14,2,0)</f>
        <v>0</v>
      </c>
      <c r="O23" s="92" t="str">
        <f ca="1">'SVS GrundRG'!$H$61</f>
        <v/>
      </c>
      <c r="P23" s="87">
        <f t="shared" si="3"/>
        <v>0</v>
      </c>
      <c r="Q23" s="87">
        <f t="shared" si="4"/>
        <v>0</v>
      </c>
      <c r="R23" s="87">
        <f t="shared" si="5"/>
        <v>0</v>
      </c>
      <c r="S23" s="87">
        <f t="shared" si="6"/>
        <v>0</v>
      </c>
    </row>
    <row r="24" spans="1:19" x14ac:dyDescent="0.25">
      <c r="A24" s="62">
        <v>19</v>
      </c>
      <c r="B24" s="89" t="s">
        <v>274</v>
      </c>
      <c r="C24" s="89" t="s">
        <v>198</v>
      </c>
      <c r="D24" s="89" t="s">
        <v>208</v>
      </c>
      <c r="E24" s="108" t="s">
        <v>251</v>
      </c>
      <c r="F24" s="110" t="s">
        <v>229</v>
      </c>
      <c r="G24" s="106">
        <v>30.23</v>
      </c>
      <c r="H24" s="87"/>
      <c r="I24" s="87"/>
      <c r="J24" s="89" t="s">
        <v>174</v>
      </c>
      <c r="K24" s="90" t="s">
        <v>219</v>
      </c>
      <c r="L24" s="87">
        <f>VLOOKUP(K24,Reinigungstage!$A$10:$H$31,8,FALSE)</f>
        <v>1</v>
      </c>
      <c r="M24" s="87">
        <f t="shared" si="2"/>
        <v>30.23</v>
      </c>
      <c r="N24" s="91">
        <f>VLOOKUP(J24,'Lei Grund OS Nossen'!$A$6:$B$14,2,0)</f>
        <v>0</v>
      </c>
      <c r="O24" s="92" t="str">
        <f ca="1">'SVS GrundRG'!$H$61</f>
        <v/>
      </c>
      <c r="P24" s="87">
        <f t="shared" si="3"/>
        <v>0</v>
      </c>
      <c r="Q24" s="87">
        <f t="shared" si="4"/>
        <v>0</v>
      </c>
      <c r="R24" s="87">
        <f t="shared" si="5"/>
        <v>0</v>
      </c>
      <c r="S24" s="87">
        <f t="shared" si="6"/>
        <v>0</v>
      </c>
    </row>
    <row r="25" spans="1:19" x14ac:dyDescent="0.25">
      <c r="A25" s="62">
        <v>20</v>
      </c>
      <c r="B25" s="89" t="s">
        <v>275</v>
      </c>
      <c r="C25" s="89" t="s">
        <v>198</v>
      </c>
      <c r="D25" s="89" t="s">
        <v>208</v>
      </c>
      <c r="E25" s="108" t="s">
        <v>252</v>
      </c>
      <c r="F25" s="110" t="s">
        <v>229</v>
      </c>
      <c r="G25" s="106">
        <v>15.64</v>
      </c>
      <c r="H25" s="87"/>
      <c r="I25" s="87"/>
      <c r="J25" s="89" t="s">
        <v>174</v>
      </c>
      <c r="K25" s="90" t="s">
        <v>219</v>
      </c>
      <c r="L25" s="87">
        <f>VLOOKUP(K25,Reinigungstage!$A$10:$H$31,8,FALSE)</f>
        <v>1</v>
      </c>
      <c r="M25" s="87">
        <f t="shared" si="2"/>
        <v>15.64</v>
      </c>
      <c r="N25" s="91">
        <f>VLOOKUP(J25,'Lei Grund OS Nossen'!$A$6:$B$14,2,0)</f>
        <v>0</v>
      </c>
      <c r="O25" s="92" t="str">
        <f ca="1">'SVS GrundRG'!$H$61</f>
        <v/>
      </c>
      <c r="P25" s="87">
        <f t="shared" si="3"/>
        <v>0</v>
      </c>
      <c r="Q25" s="87">
        <f t="shared" si="4"/>
        <v>0</v>
      </c>
      <c r="R25" s="87">
        <f t="shared" si="5"/>
        <v>0</v>
      </c>
      <c r="S25" s="87">
        <f t="shared" si="6"/>
        <v>0</v>
      </c>
    </row>
    <row r="26" spans="1:19" x14ac:dyDescent="0.25">
      <c r="A26" s="62">
        <v>21</v>
      </c>
      <c r="B26" s="93" t="s">
        <v>276</v>
      </c>
      <c r="C26" s="89" t="s">
        <v>198</v>
      </c>
      <c r="D26" s="89" t="s">
        <v>208</v>
      </c>
      <c r="E26" s="108" t="s">
        <v>324</v>
      </c>
      <c r="F26" s="110" t="s">
        <v>200</v>
      </c>
      <c r="G26" s="106">
        <v>5.12</v>
      </c>
      <c r="H26" s="87"/>
      <c r="I26" s="87"/>
      <c r="J26" s="89" t="s">
        <v>172</v>
      </c>
      <c r="K26" s="90" t="s">
        <v>219</v>
      </c>
      <c r="L26" s="87">
        <f>VLOOKUP(K26,Reinigungstage!$A$10:$H$31,8,FALSE)</f>
        <v>1</v>
      </c>
      <c r="M26" s="87">
        <f t="shared" si="2"/>
        <v>5.12</v>
      </c>
      <c r="N26" s="91">
        <f>VLOOKUP(J26,'Lei Grund OS Nossen'!$A$6:$B$14,2,0)</f>
        <v>0</v>
      </c>
      <c r="O26" s="92" t="str">
        <f ca="1">'SVS GrundRG'!$H$61</f>
        <v/>
      </c>
      <c r="P26" s="87">
        <f t="shared" si="3"/>
        <v>0</v>
      </c>
      <c r="Q26" s="87">
        <f t="shared" si="4"/>
        <v>0</v>
      </c>
      <c r="R26" s="87">
        <f t="shared" si="5"/>
        <v>0</v>
      </c>
      <c r="S26" s="87">
        <f t="shared" si="6"/>
        <v>0</v>
      </c>
    </row>
    <row r="27" spans="1:19" x14ac:dyDescent="0.25">
      <c r="A27" s="62">
        <v>22</v>
      </c>
      <c r="B27" s="89" t="s">
        <v>277</v>
      </c>
      <c r="C27" s="89" t="s">
        <v>198</v>
      </c>
      <c r="D27" s="89" t="s">
        <v>208</v>
      </c>
      <c r="E27" s="108" t="s">
        <v>253</v>
      </c>
      <c r="F27" s="110" t="s">
        <v>197</v>
      </c>
      <c r="G27" s="106">
        <v>50.54</v>
      </c>
      <c r="H27" s="87"/>
      <c r="I27" s="87"/>
      <c r="J27" s="89" t="s">
        <v>168</v>
      </c>
      <c r="K27" s="90" t="s">
        <v>219</v>
      </c>
      <c r="L27" s="87">
        <f>VLOOKUP(K27,Reinigungstage!$A$10:$H$31,8,FALSE)</f>
        <v>1</v>
      </c>
      <c r="M27" s="87">
        <f t="shared" si="2"/>
        <v>50.54</v>
      </c>
      <c r="N27" s="91">
        <f>VLOOKUP(J27,'Lei Grund OS Nossen'!$A$6:$B$14,2,0)</f>
        <v>0</v>
      </c>
      <c r="O27" s="92" t="str">
        <f ca="1">'SVS GrundRG'!$H$61</f>
        <v/>
      </c>
      <c r="P27" s="87">
        <f t="shared" si="3"/>
        <v>0</v>
      </c>
      <c r="Q27" s="87">
        <f t="shared" si="4"/>
        <v>0</v>
      </c>
      <c r="R27" s="87">
        <f t="shared" si="5"/>
        <v>0</v>
      </c>
      <c r="S27" s="87">
        <f t="shared" si="6"/>
        <v>0</v>
      </c>
    </row>
    <row r="28" spans="1:19" x14ac:dyDescent="0.25">
      <c r="A28" s="62">
        <v>23</v>
      </c>
      <c r="B28" s="89" t="s">
        <v>278</v>
      </c>
      <c r="C28" s="89" t="s">
        <v>198</v>
      </c>
      <c r="D28" s="89" t="s">
        <v>208</v>
      </c>
      <c r="E28" s="108" t="s">
        <v>254</v>
      </c>
      <c r="F28" s="110" t="s">
        <v>229</v>
      </c>
      <c r="G28" s="106">
        <v>17.73</v>
      </c>
      <c r="H28" s="87"/>
      <c r="I28" s="87"/>
      <c r="J28" s="89" t="s">
        <v>174</v>
      </c>
      <c r="K28" s="90" t="s">
        <v>219</v>
      </c>
      <c r="L28" s="87">
        <f>VLOOKUP(K28,Reinigungstage!$A$10:$H$31,8,FALSE)</f>
        <v>1</v>
      </c>
      <c r="M28" s="87">
        <f t="shared" si="2"/>
        <v>17.73</v>
      </c>
      <c r="N28" s="91">
        <f>VLOOKUP(J28,'Lei Grund OS Nossen'!$A$6:$B$14,2,0)</f>
        <v>0</v>
      </c>
      <c r="O28" s="92" t="str">
        <f ca="1">'SVS GrundRG'!$H$61</f>
        <v/>
      </c>
      <c r="P28" s="87">
        <f t="shared" si="3"/>
        <v>0</v>
      </c>
      <c r="Q28" s="87">
        <f t="shared" si="4"/>
        <v>0</v>
      </c>
      <c r="R28" s="87">
        <f t="shared" si="5"/>
        <v>0</v>
      </c>
      <c r="S28" s="87">
        <f t="shared" si="6"/>
        <v>0</v>
      </c>
    </row>
    <row r="29" spans="1:19" x14ac:dyDescent="0.25">
      <c r="A29" s="62">
        <v>24</v>
      </c>
      <c r="B29" s="93" t="s">
        <v>279</v>
      </c>
      <c r="C29" s="89" t="s">
        <v>198</v>
      </c>
      <c r="D29" s="89" t="s">
        <v>208</v>
      </c>
      <c r="E29" s="107" t="s">
        <v>255</v>
      </c>
      <c r="F29" s="62" t="s">
        <v>229</v>
      </c>
      <c r="G29" s="106">
        <v>30.88</v>
      </c>
      <c r="H29" s="87"/>
      <c r="I29" s="87"/>
      <c r="J29" s="89" t="s">
        <v>174</v>
      </c>
      <c r="K29" s="90" t="s">
        <v>219</v>
      </c>
      <c r="L29" s="87">
        <f>VLOOKUP(K29,Reinigungstage!$A$10:$H$31,8,FALSE)</f>
        <v>1</v>
      </c>
      <c r="M29" s="87">
        <f t="shared" si="2"/>
        <v>30.88</v>
      </c>
      <c r="N29" s="91">
        <f>VLOOKUP(J29,'Lei Grund OS Nossen'!$A$6:$B$14,2,0)</f>
        <v>0</v>
      </c>
      <c r="O29" s="92" t="str">
        <f ca="1">'SVS GrundRG'!$H$61</f>
        <v/>
      </c>
      <c r="P29" s="87">
        <f t="shared" si="3"/>
        <v>0</v>
      </c>
      <c r="Q29" s="87">
        <f t="shared" si="4"/>
        <v>0</v>
      </c>
      <c r="R29" s="87">
        <f t="shared" si="5"/>
        <v>0</v>
      </c>
      <c r="S29" s="87">
        <f t="shared" si="6"/>
        <v>0</v>
      </c>
    </row>
    <row r="30" spans="1:19" x14ac:dyDescent="0.25">
      <c r="A30" s="62">
        <v>25</v>
      </c>
      <c r="B30" s="89" t="s">
        <v>280</v>
      </c>
      <c r="C30" s="89" t="s">
        <v>198</v>
      </c>
      <c r="D30" s="89" t="s">
        <v>208</v>
      </c>
      <c r="E30" s="108" t="s">
        <v>256</v>
      </c>
      <c r="F30" s="62" t="s">
        <v>197</v>
      </c>
      <c r="G30" s="106">
        <v>50.54</v>
      </c>
      <c r="H30" s="87"/>
      <c r="I30" s="87"/>
      <c r="J30" s="89" t="s">
        <v>173</v>
      </c>
      <c r="K30" s="90" t="s">
        <v>219</v>
      </c>
      <c r="L30" s="87">
        <f>VLOOKUP(K30,Reinigungstage!$A$10:$H$31,8,FALSE)</f>
        <v>1</v>
      </c>
      <c r="M30" s="87">
        <f t="shared" si="2"/>
        <v>50.54</v>
      </c>
      <c r="N30" s="91">
        <f>VLOOKUP(J30,'Lei Grund OS Nossen'!$A$6:$B$14,2,0)</f>
        <v>0</v>
      </c>
      <c r="O30" s="92" t="str">
        <f ca="1">'SVS GrundRG'!$H$61</f>
        <v/>
      </c>
      <c r="P30" s="87">
        <f t="shared" si="3"/>
        <v>0</v>
      </c>
      <c r="Q30" s="87">
        <f t="shared" si="4"/>
        <v>0</v>
      </c>
      <c r="R30" s="87">
        <f t="shared" si="5"/>
        <v>0</v>
      </c>
      <c r="S30" s="87">
        <f t="shared" si="6"/>
        <v>0</v>
      </c>
    </row>
    <row r="31" spans="1:19" x14ac:dyDescent="0.25">
      <c r="A31" s="62">
        <v>26</v>
      </c>
      <c r="B31" s="93">
        <v>1</v>
      </c>
      <c r="C31" s="105" t="s">
        <v>196</v>
      </c>
      <c r="D31" s="89" t="s">
        <v>208</v>
      </c>
      <c r="E31" s="108" t="s">
        <v>281</v>
      </c>
      <c r="F31" s="62" t="s">
        <v>197</v>
      </c>
      <c r="G31" s="106">
        <v>76.39</v>
      </c>
      <c r="H31" s="87"/>
      <c r="I31" s="87"/>
      <c r="J31" s="89" t="s">
        <v>173</v>
      </c>
      <c r="K31" s="90" t="s">
        <v>219</v>
      </c>
      <c r="L31" s="87">
        <f>VLOOKUP(K31,Reinigungstage!$A$10:$H$31,8,FALSE)</f>
        <v>1</v>
      </c>
      <c r="M31" s="87">
        <f t="shared" si="2"/>
        <v>76.39</v>
      </c>
      <c r="N31" s="91">
        <f>VLOOKUP(J31,'Lei Grund OS Nossen'!$A$6:$B$14,2,0)</f>
        <v>0</v>
      </c>
      <c r="O31" s="92" t="str">
        <f ca="1">'SVS GrundRG'!$H$61</f>
        <v/>
      </c>
      <c r="P31" s="87">
        <f t="shared" si="3"/>
        <v>0</v>
      </c>
      <c r="Q31" s="87">
        <f t="shared" si="4"/>
        <v>0</v>
      </c>
      <c r="R31" s="87">
        <f t="shared" si="5"/>
        <v>0</v>
      </c>
      <c r="S31" s="87">
        <f t="shared" si="6"/>
        <v>0</v>
      </c>
    </row>
    <row r="32" spans="1:19" x14ac:dyDescent="0.25">
      <c r="A32" s="62">
        <v>27</v>
      </c>
      <c r="B32" s="93">
        <v>2</v>
      </c>
      <c r="C32" s="105" t="s">
        <v>196</v>
      </c>
      <c r="D32" s="89" t="s">
        <v>208</v>
      </c>
      <c r="E32" s="108" t="s">
        <v>282</v>
      </c>
      <c r="F32" s="62" t="s">
        <v>197</v>
      </c>
      <c r="G32" s="106">
        <v>33.65</v>
      </c>
      <c r="H32" s="87"/>
      <c r="I32" s="87"/>
      <c r="J32" s="89" t="s">
        <v>168</v>
      </c>
      <c r="K32" s="90" t="s">
        <v>219</v>
      </c>
      <c r="L32" s="87">
        <f>VLOOKUP(K32,Reinigungstage!$A$10:$H$31,8,FALSE)</f>
        <v>1</v>
      </c>
      <c r="M32" s="87">
        <f t="shared" si="2"/>
        <v>33.65</v>
      </c>
      <c r="N32" s="91">
        <f>VLOOKUP(J32,'Lei Grund OS Nossen'!$A$6:$B$14,2,0)</f>
        <v>0</v>
      </c>
      <c r="O32" s="92" t="str">
        <f ca="1">'SVS GrundRG'!$H$61</f>
        <v/>
      </c>
      <c r="P32" s="87">
        <f t="shared" si="3"/>
        <v>0</v>
      </c>
      <c r="Q32" s="87">
        <f t="shared" si="4"/>
        <v>0</v>
      </c>
      <c r="R32" s="87">
        <f t="shared" si="5"/>
        <v>0</v>
      </c>
      <c r="S32" s="87">
        <f t="shared" si="6"/>
        <v>0</v>
      </c>
    </row>
    <row r="33" spans="1:19" x14ac:dyDescent="0.25">
      <c r="A33" s="62">
        <v>28</v>
      </c>
      <c r="B33" s="93">
        <v>3</v>
      </c>
      <c r="C33" s="105" t="s">
        <v>196</v>
      </c>
      <c r="D33" s="89" t="s">
        <v>208</v>
      </c>
      <c r="E33" s="108" t="s">
        <v>238</v>
      </c>
      <c r="F33" s="62" t="s">
        <v>229</v>
      </c>
      <c r="G33" s="109">
        <v>52.28</v>
      </c>
      <c r="H33" s="87"/>
      <c r="I33" s="87"/>
      <c r="J33" s="89" t="s">
        <v>171</v>
      </c>
      <c r="K33" s="90" t="s">
        <v>219</v>
      </c>
      <c r="L33" s="87">
        <f>VLOOKUP(K33,Reinigungstage!$A$10:$H$31,8,FALSE)</f>
        <v>1</v>
      </c>
      <c r="M33" s="87">
        <f t="shared" si="2"/>
        <v>52.28</v>
      </c>
      <c r="N33" s="91">
        <f>VLOOKUP(J33,'Lei Grund OS Nossen'!$A$6:$B$14,2,0)</f>
        <v>0</v>
      </c>
      <c r="O33" s="92" t="str">
        <f ca="1">'SVS GrundRG'!$H$61</f>
        <v/>
      </c>
      <c r="P33" s="87">
        <f t="shared" si="3"/>
        <v>0</v>
      </c>
      <c r="Q33" s="87">
        <f t="shared" si="4"/>
        <v>0</v>
      </c>
      <c r="R33" s="87">
        <f t="shared" si="5"/>
        <v>0</v>
      </c>
      <c r="S33" s="87">
        <f t="shared" si="6"/>
        <v>0</v>
      </c>
    </row>
    <row r="34" spans="1:19" x14ac:dyDescent="0.25">
      <c r="A34" s="62">
        <v>29</v>
      </c>
      <c r="B34" s="93">
        <v>4</v>
      </c>
      <c r="C34" s="105" t="s">
        <v>196</v>
      </c>
      <c r="D34" s="89" t="s">
        <v>208</v>
      </c>
      <c r="E34" s="108" t="s">
        <v>292</v>
      </c>
      <c r="F34" s="62" t="s">
        <v>229</v>
      </c>
      <c r="G34" s="106">
        <v>12.64</v>
      </c>
      <c r="H34" s="87"/>
      <c r="I34" s="87">
        <v>1</v>
      </c>
      <c r="J34" s="89" t="s">
        <v>174</v>
      </c>
      <c r="K34" s="90" t="s">
        <v>219</v>
      </c>
      <c r="L34" s="87">
        <f>VLOOKUP(K34,Reinigungstage!$A$10:$H$31,8,FALSE)</f>
        <v>1</v>
      </c>
      <c r="M34" s="87">
        <f t="shared" si="2"/>
        <v>12.64</v>
      </c>
      <c r="N34" s="91">
        <f>VLOOKUP(J34,'Lei Grund OS Nossen'!$A$6:$B$14,2,0)</f>
        <v>0</v>
      </c>
      <c r="O34" s="92" t="str">
        <f ca="1">'SVS GrundRG'!$H$61</f>
        <v/>
      </c>
      <c r="P34" s="87">
        <f t="shared" si="3"/>
        <v>0</v>
      </c>
      <c r="Q34" s="87">
        <f t="shared" si="4"/>
        <v>0</v>
      </c>
      <c r="R34" s="87">
        <f t="shared" si="5"/>
        <v>0</v>
      </c>
      <c r="S34" s="87">
        <f t="shared" si="6"/>
        <v>0</v>
      </c>
    </row>
    <row r="35" spans="1:19" x14ac:dyDescent="0.25">
      <c r="A35" s="62">
        <v>30</v>
      </c>
      <c r="B35" s="93">
        <v>5</v>
      </c>
      <c r="C35" s="105" t="s">
        <v>196</v>
      </c>
      <c r="D35" s="89" t="s">
        <v>208</v>
      </c>
      <c r="E35" s="108" t="s">
        <v>283</v>
      </c>
      <c r="F35" s="62" t="s">
        <v>229</v>
      </c>
      <c r="G35" s="106">
        <v>51.56</v>
      </c>
      <c r="H35" s="87"/>
      <c r="I35" s="87"/>
      <c r="J35" s="89" t="s">
        <v>174</v>
      </c>
      <c r="K35" s="90" t="s">
        <v>219</v>
      </c>
      <c r="L35" s="87">
        <f>VLOOKUP(K35,Reinigungstage!$A$10:$H$31,8,FALSE)</f>
        <v>1</v>
      </c>
      <c r="M35" s="87">
        <f t="shared" si="2"/>
        <v>51.56</v>
      </c>
      <c r="N35" s="91">
        <f>VLOOKUP(J35,'Lei Grund OS Nossen'!$A$6:$B$14,2,0)</f>
        <v>0</v>
      </c>
      <c r="O35" s="92" t="str">
        <f ca="1">'SVS GrundRG'!$H$61</f>
        <v/>
      </c>
      <c r="P35" s="87">
        <f t="shared" si="3"/>
        <v>0</v>
      </c>
      <c r="Q35" s="87">
        <f t="shared" si="4"/>
        <v>0</v>
      </c>
      <c r="R35" s="87">
        <f t="shared" si="5"/>
        <v>0</v>
      </c>
      <c r="S35" s="87">
        <f t="shared" si="6"/>
        <v>0</v>
      </c>
    </row>
    <row r="36" spans="1:19" x14ac:dyDescent="0.25">
      <c r="A36" s="62">
        <v>31</v>
      </c>
      <c r="B36" s="93">
        <v>6</v>
      </c>
      <c r="C36" s="105" t="s">
        <v>196</v>
      </c>
      <c r="D36" s="89" t="s">
        <v>208</v>
      </c>
      <c r="E36" s="108" t="s">
        <v>284</v>
      </c>
      <c r="F36" s="110" t="s">
        <v>197</v>
      </c>
      <c r="G36" s="106">
        <v>16.62</v>
      </c>
      <c r="H36" s="87"/>
      <c r="I36" s="87"/>
      <c r="J36" s="89" t="s">
        <v>168</v>
      </c>
      <c r="K36" s="90" t="s">
        <v>219</v>
      </c>
      <c r="L36" s="87">
        <f>VLOOKUP(K36,Reinigungstage!$A$10:$H$31,8,FALSE)</f>
        <v>1</v>
      </c>
      <c r="M36" s="87">
        <f t="shared" si="2"/>
        <v>16.62</v>
      </c>
      <c r="N36" s="91">
        <f>VLOOKUP(J36,'Lei Grund OS Nossen'!$A$6:$B$14,2,0)</f>
        <v>0</v>
      </c>
      <c r="O36" s="92" t="str">
        <f ca="1">'SVS GrundRG'!$H$61</f>
        <v/>
      </c>
      <c r="P36" s="87">
        <f t="shared" si="3"/>
        <v>0</v>
      </c>
      <c r="Q36" s="87">
        <f t="shared" si="4"/>
        <v>0</v>
      </c>
      <c r="R36" s="87">
        <f t="shared" si="5"/>
        <v>0</v>
      </c>
      <c r="S36" s="87">
        <f t="shared" si="6"/>
        <v>0</v>
      </c>
    </row>
    <row r="37" spans="1:19" x14ac:dyDescent="0.25">
      <c r="A37" s="62">
        <v>32</v>
      </c>
      <c r="B37" s="93">
        <v>7</v>
      </c>
      <c r="C37" s="105" t="s">
        <v>196</v>
      </c>
      <c r="D37" s="89" t="s">
        <v>208</v>
      </c>
      <c r="E37" s="108" t="s">
        <v>285</v>
      </c>
      <c r="F37" s="110" t="s">
        <v>200</v>
      </c>
      <c r="G37" s="106">
        <v>11.9</v>
      </c>
      <c r="H37" s="87"/>
      <c r="I37" s="87"/>
      <c r="J37" s="89" t="s">
        <v>169</v>
      </c>
      <c r="K37" s="90" t="s">
        <v>219</v>
      </c>
      <c r="L37" s="87">
        <f>VLOOKUP(K37,Reinigungstage!$A$10:$H$31,8,FALSE)</f>
        <v>1</v>
      </c>
      <c r="M37" s="87">
        <f t="shared" si="2"/>
        <v>11.9</v>
      </c>
      <c r="N37" s="91">
        <f>VLOOKUP(J37,'Lei Grund OS Nossen'!$A$6:$B$14,2,0)</f>
        <v>0</v>
      </c>
      <c r="O37" s="92" t="str">
        <f ca="1">'SVS GrundRG'!$H$61</f>
        <v/>
      </c>
      <c r="P37" s="87">
        <f t="shared" si="3"/>
        <v>0</v>
      </c>
      <c r="Q37" s="87">
        <f t="shared" si="4"/>
        <v>0</v>
      </c>
      <c r="R37" s="87">
        <f t="shared" si="5"/>
        <v>0</v>
      </c>
      <c r="S37" s="87">
        <f t="shared" si="6"/>
        <v>0</v>
      </c>
    </row>
    <row r="38" spans="1:19" x14ac:dyDescent="0.25">
      <c r="A38" s="62">
        <v>33</v>
      </c>
      <c r="B38" s="93">
        <v>8</v>
      </c>
      <c r="C38" s="105" t="s">
        <v>196</v>
      </c>
      <c r="D38" s="89" t="s">
        <v>208</v>
      </c>
      <c r="E38" s="108" t="s">
        <v>286</v>
      </c>
      <c r="F38" s="110" t="s">
        <v>200</v>
      </c>
      <c r="G38" s="106">
        <v>16.02</v>
      </c>
      <c r="H38" s="87"/>
      <c r="I38" s="87"/>
      <c r="J38" s="89" t="s">
        <v>169</v>
      </c>
      <c r="K38" s="90" t="s">
        <v>219</v>
      </c>
      <c r="L38" s="87">
        <f>VLOOKUP(K38,Reinigungstage!$A$10:$H$31,8,FALSE)</f>
        <v>1</v>
      </c>
      <c r="M38" s="87">
        <f t="shared" si="2"/>
        <v>16.02</v>
      </c>
      <c r="N38" s="91">
        <f>VLOOKUP(J38,'Lei Grund OS Nossen'!$A$6:$B$14,2,0)</f>
        <v>0</v>
      </c>
      <c r="O38" s="92" t="str">
        <f ca="1">'SVS GrundRG'!$H$61</f>
        <v/>
      </c>
      <c r="P38" s="87">
        <f t="shared" si="3"/>
        <v>0</v>
      </c>
      <c r="Q38" s="87">
        <f t="shared" si="4"/>
        <v>0</v>
      </c>
      <c r="R38" s="87">
        <f t="shared" si="5"/>
        <v>0</v>
      </c>
      <c r="S38" s="87">
        <f t="shared" si="6"/>
        <v>0</v>
      </c>
    </row>
    <row r="39" spans="1:19" x14ac:dyDescent="0.25">
      <c r="A39" s="62">
        <v>34</v>
      </c>
      <c r="B39" s="93">
        <v>9</v>
      </c>
      <c r="C39" s="105" t="s">
        <v>196</v>
      </c>
      <c r="D39" s="89" t="s">
        <v>208</v>
      </c>
      <c r="E39" s="108" t="s">
        <v>287</v>
      </c>
      <c r="F39" s="110" t="s">
        <v>229</v>
      </c>
      <c r="G39" s="106">
        <v>84.1</v>
      </c>
      <c r="H39" s="87"/>
      <c r="I39" s="87"/>
      <c r="J39" s="89" t="s">
        <v>171</v>
      </c>
      <c r="K39" s="90" t="s">
        <v>219</v>
      </c>
      <c r="L39" s="87">
        <f>VLOOKUP(K39,Reinigungstage!$A$10:$H$31,8,FALSE)</f>
        <v>1</v>
      </c>
      <c r="M39" s="87">
        <f t="shared" si="2"/>
        <v>84.1</v>
      </c>
      <c r="N39" s="91">
        <f>VLOOKUP(J39,'Lei Grund OS Nossen'!$A$6:$B$14,2,0)</f>
        <v>0</v>
      </c>
      <c r="O39" s="92" t="str">
        <f ca="1">'SVS GrundRG'!$H$61</f>
        <v/>
      </c>
      <c r="P39" s="87">
        <f t="shared" si="3"/>
        <v>0</v>
      </c>
      <c r="Q39" s="87">
        <f t="shared" si="4"/>
        <v>0</v>
      </c>
      <c r="R39" s="87">
        <f t="shared" si="5"/>
        <v>0</v>
      </c>
      <c r="S39" s="87">
        <f t="shared" si="6"/>
        <v>0</v>
      </c>
    </row>
    <row r="40" spans="1:19" x14ac:dyDescent="0.25">
      <c r="A40" s="62">
        <v>35</v>
      </c>
      <c r="B40" s="93">
        <v>10</v>
      </c>
      <c r="C40" s="105" t="s">
        <v>196</v>
      </c>
      <c r="D40" s="89" t="s">
        <v>208</v>
      </c>
      <c r="E40" s="108" t="s">
        <v>204</v>
      </c>
      <c r="F40" s="110" t="s">
        <v>200</v>
      </c>
      <c r="G40" s="106">
        <v>35.159999999999997</v>
      </c>
      <c r="H40" s="87"/>
      <c r="I40" s="87"/>
      <c r="J40" s="89" t="s">
        <v>169</v>
      </c>
      <c r="K40" s="90" t="s">
        <v>219</v>
      </c>
      <c r="L40" s="87">
        <f>VLOOKUP(K40,Reinigungstage!$A$10:$H$31,8,FALSE)</f>
        <v>1</v>
      </c>
      <c r="M40" s="87">
        <f t="shared" si="2"/>
        <v>35.159999999999997</v>
      </c>
      <c r="N40" s="91">
        <f>VLOOKUP(J40,'Lei Grund OS Nossen'!$A$6:$B$14,2,0)</f>
        <v>0</v>
      </c>
      <c r="O40" s="92" t="str">
        <f ca="1">'SVS GrundRG'!$H$61</f>
        <v/>
      </c>
      <c r="P40" s="87">
        <f t="shared" si="3"/>
        <v>0</v>
      </c>
      <c r="Q40" s="87">
        <f t="shared" si="4"/>
        <v>0</v>
      </c>
      <c r="R40" s="87">
        <f t="shared" si="5"/>
        <v>0</v>
      </c>
      <c r="S40" s="87">
        <f t="shared" si="6"/>
        <v>0</v>
      </c>
    </row>
    <row r="41" spans="1:19" x14ac:dyDescent="0.25">
      <c r="A41" s="62">
        <v>36</v>
      </c>
      <c r="B41" s="93">
        <v>11</v>
      </c>
      <c r="C41" s="105" t="s">
        <v>196</v>
      </c>
      <c r="D41" s="89" t="s">
        <v>208</v>
      </c>
      <c r="E41" s="108" t="s">
        <v>203</v>
      </c>
      <c r="F41" s="110" t="s">
        <v>200</v>
      </c>
      <c r="G41" s="106">
        <v>32.83</v>
      </c>
      <c r="H41" s="87"/>
      <c r="I41" s="87"/>
      <c r="J41" s="89" t="s">
        <v>169</v>
      </c>
      <c r="K41" s="90" t="s">
        <v>219</v>
      </c>
      <c r="L41" s="87">
        <f>VLOOKUP(K41,Reinigungstage!$A$10:$H$31,8,FALSE)</f>
        <v>1</v>
      </c>
      <c r="M41" s="87">
        <f t="shared" si="2"/>
        <v>32.83</v>
      </c>
      <c r="N41" s="91">
        <f>VLOOKUP(J41,'Lei Grund OS Nossen'!$A$6:$B$14,2,0)</f>
        <v>0</v>
      </c>
      <c r="O41" s="92" t="str">
        <f ca="1">'SVS GrundRG'!$H$61</f>
        <v/>
      </c>
      <c r="P41" s="87">
        <f t="shared" si="3"/>
        <v>0</v>
      </c>
      <c r="Q41" s="87">
        <f t="shared" si="4"/>
        <v>0</v>
      </c>
      <c r="R41" s="87">
        <f t="shared" si="5"/>
        <v>0</v>
      </c>
      <c r="S41" s="87">
        <f t="shared" si="6"/>
        <v>0</v>
      </c>
    </row>
    <row r="42" spans="1:19" x14ac:dyDescent="0.25">
      <c r="A42" s="62">
        <v>37</v>
      </c>
      <c r="B42" s="93">
        <v>12</v>
      </c>
      <c r="C42" s="105" t="s">
        <v>196</v>
      </c>
      <c r="D42" s="89" t="s">
        <v>208</v>
      </c>
      <c r="E42" s="108" t="s">
        <v>288</v>
      </c>
      <c r="F42" s="110" t="s">
        <v>229</v>
      </c>
      <c r="G42" s="106">
        <v>51.51</v>
      </c>
      <c r="H42" s="87"/>
      <c r="I42" s="87"/>
      <c r="J42" s="89" t="s">
        <v>171</v>
      </c>
      <c r="K42" s="90" t="s">
        <v>219</v>
      </c>
      <c r="L42" s="87">
        <f>VLOOKUP(K42,Reinigungstage!$A$10:$H$31,8,FALSE)</f>
        <v>1</v>
      </c>
      <c r="M42" s="87">
        <f t="shared" si="2"/>
        <v>51.51</v>
      </c>
      <c r="N42" s="91">
        <f>VLOOKUP(J42,'Lei Grund OS Nossen'!$A$6:$B$14,2,0)</f>
        <v>0</v>
      </c>
      <c r="O42" s="92" t="str">
        <f ca="1">'SVS GrundRG'!$H$61</f>
        <v/>
      </c>
      <c r="P42" s="87">
        <f t="shared" si="3"/>
        <v>0</v>
      </c>
      <c r="Q42" s="87">
        <f t="shared" si="4"/>
        <v>0</v>
      </c>
      <c r="R42" s="87">
        <f t="shared" si="5"/>
        <v>0</v>
      </c>
      <c r="S42" s="87">
        <f t="shared" si="6"/>
        <v>0</v>
      </c>
    </row>
    <row r="43" spans="1:19" x14ac:dyDescent="0.25">
      <c r="A43" s="62">
        <v>38</v>
      </c>
      <c r="B43" s="93">
        <v>13</v>
      </c>
      <c r="C43" s="105" t="s">
        <v>196</v>
      </c>
      <c r="D43" s="89" t="s">
        <v>208</v>
      </c>
      <c r="E43" s="108" t="s">
        <v>289</v>
      </c>
      <c r="F43" s="110" t="s">
        <v>197</v>
      </c>
      <c r="G43" s="106">
        <v>16.399999999999999</v>
      </c>
      <c r="H43" s="87"/>
      <c r="I43" s="87"/>
      <c r="J43" s="89" t="s">
        <v>168</v>
      </c>
      <c r="K43" s="90" t="s">
        <v>219</v>
      </c>
      <c r="L43" s="87">
        <f>VLOOKUP(K43,Reinigungstage!$A$10:$H$31,8,FALSE)</f>
        <v>1</v>
      </c>
      <c r="M43" s="87">
        <f t="shared" si="2"/>
        <v>16.399999999999999</v>
      </c>
      <c r="N43" s="91">
        <f>VLOOKUP(J43,'Lei Grund OS Nossen'!$A$6:$B$14,2,0)</f>
        <v>0</v>
      </c>
      <c r="O43" s="92" t="str">
        <f ca="1">'SVS GrundRG'!$H$61</f>
        <v/>
      </c>
      <c r="P43" s="87">
        <f t="shared" si="3"/>
        <v>0</v>
      </c>
      <c r="Q43" s="87">
        <f t="shared" si="4"/>
        <v>0</v>
      </c>
      <c r="R43" s="87">
        <f t="shared" si="5"/>
        <v>0</v>
      </c>
      <c r="S43" s="87">
        <f t="shared" si="6"/>
        <v>0</v>
      </c>
    </row>
    <row r="44" spans="1:19" x14ac:dyDescent="0.25">
      <c r="A44" s="62">
        <v>39</v>
      </c>
      <c r="B44" s="93">
        <v>14</v>
      </c>
      <c r="C44" s="105" t="s">
        <v>196</v>
      </c>
      <c r="D44" s="89" t="s">
        <v>208</v>
      </c>
      <c r="E44" s="108" t="s">
        <v>290</v>
      </c>
      <c r="F44" s="110" t="s">
        <v>197</v>
      </c>
      <c r="G44" s="106">
        <v>50.54</v>
      </c>
      <c r="H44" s="87"/>
      <c r="I44" s="87"/>
      <c r="J44" s="89" t="s">
        <v>173</v>
      </c>
      <c r="K44" s="90" t="s">
        <v>219</v>
      </c>
      <c r="L44" s="87">
        <f>VLOOKUP(K44,Reinigungstage!$A$10:$H$31,8,FALSE)</f>
        <v>1</v>
      </c>
      <c r="M44" s="87">
        <f t="shared" si="2"/>
        <v>50.54</v>
      </c>
      <c r="N44" s="91">
        <f>VLOOKUP(J44,'Lei Grund OS Nossen'!$A$6:$B$14,2,0)</f>
        <v>0</v>
      </c>
      <c r="O44" s="92" t="str">
        <f ca="1">'SVS GrundRG'!$H$61</f>
        <v/>
      </c>
      <c r="P44" s="87">
        <f t="shared" si="3"/>
        <v>0</v>
      </c>
      <c r="Q44" s="87">
        <f t="shared" si="4"/>
        <v>0</v>
      </c>
      <c r="R44" s="87">
        <f t="shared" si="5"/>
        <v>0</v>
      </c>
      <c r="S44" s="87">
        <f t="shared" si="6"/>
        <v>0</v>
      </c>
    </row>
    <row r="45" spans="1:19" x14ac:dyDescent="0.25">
      <c r="A45" s="62">
        <v>40</v>
      </c>
      <c r="B45" s="93">
        <v>15</v>
      </c>
      <c r="C45" s="105" t="s">
        <v>196</v>
      </c>
      <c r="D45" s="89" t="s">
        <v>208</v>
      </c>
      <c r="E45" s="108" t="s">
        <v>291</v>
      </c>
      <c r="F45" s="110" t="s">
        <v>197</v>
      </c>
      <c r="G45" s="106">
        <v>50.54</v>
      </c>
      <c r="H45" s="87"/>
      <c r="I45" s="87"/>
      <c r="J45" s="89" t="s">
        <v>173</v>
      </c>
      <c r="K45" s="90" t="s">
        <v>219</v>
      </c>
      <c r="L45" s="87">
        <f>VLOOKUP(K45,Reinigungstage!$A$10:$H$31,8,FALSE)</f>
        <v>1</v>
      </c>
      <c r="M45" s="87">
        <f t="shared" si="2"/>
        <v>50.54</v>
      </c>
      <c r="N45" s="91">
        <f>VLOOKUP(J45,'Lei Grund OS Nossen'!$A$6:$B$14,2,0)</f>
        <v>0</v>
      </c>
      <c r="O45" s="92" t="str">
        <f ca="1">'SVS GrundRG'!$H$61</f>
        <v/>
      </c>
      <c r="P45" s="87">
        <f t="shared" si="3"/>
        <v>0</v>
      </c>
      <c r="Q45" s="87">
        <f t="shared" si="4"/>
        <v>0</v>
      </c>
      <c r="R45" s="87">
        <f t="shared" si="5"/>
        <v>0</v>
      </c>
      <c r="S45" s="87">
        <f t="shared" si="6"/>
        <v>0</v>
      </c>
    </row>
    <row r="46" spans="1:19" x14ac:dyDescent="0.25">
      <c r="A46" s="62">
        <v>41</v>
      </c>
      <c r="B46" s="93">
        <v>16</v>
      </c>
      <c r="C46" s="105" t="s">
        <v>196</v>
      </c>
      <c r="D46" s="89" t="s">
        <v>208</v>
      </c>
      <c r="E46" s="108" t="s">
        <v>292</v>
      </c>
      <c r="F46" s="110" t="s">
        <v>229</v>
      </c>
      <c r="G46" s="109">
        <v>37.31</v>
      </c>
      <c r="H46" s="87"/>
      <c r="I46" s="87">
        <v>1</v>
      </c>
      <c r="J46" s="89" t="s">
        <v>174</v>
      </c>
      <c r="K46" s="90" t="s">
        <v>219</v>
      </c>
      <c r="L46" s="87">
        <f>VLOOKUP(K46,Reinigungstage!$A$10:$H$31,8,FALSE)</f>
        <v>1</v>
      </c>
      <c r="M46" s="87">
        <f t="shared" si="2"/>
        <v>37.31</v>
      </c>
      <c r="N46" s="91">
        <f>VLOOKUP(J46,'Lei Grund OS Nossen'!$A$6:$B$14,2,0)</f>
        <v>0</v>
      </c>
      <c r="O46" s="92" t="str">
        <f ca="1">'SVS GrundRG'!$H$61</f>
        <v/>
      </c>
      <c r="P46" s="87">
        <f t="shared" si="3"/>
        <v>0</v>
      </c>
      <c r="Q46" s="87">
        <f t="shared" si="4"/>
        <v>0</v>
      </c>
      <c r="R46" s="87">
        <f t="shared" si="5"/>
        <v>0</v>
      </c>
      <c r="S46" s="87">
        <f t="shared" si="6"/>
        <v>0</v>
      </c>
    </row>
    <row r="47" spans="1:19" x14ac:dyDescent="0.25">
      <c r="A47" s="62">
        <v>42</v>
      </c>
      <c r="B47" s="93">
        <v>17</v>
      </c>
      <c r="C47" s="105" t="s">
        <v>196</v>
      </c>
      <c r="D47" s="89" t="s">
        <v>208</v>
      </c>
      <c r="E47" s="108" t="s">
        <v>291</v>
      </c>
      <c r="F47" s="110" t="s">
        <v>197</v>
      </c>
      <c r="G47" s="106">
        <v>50.54</v>
      </c>
      <c r="H47" s="87"/>
      <c r="I47" s="87"/>
      <c r="J47" s="89" t="s">
        <v>173</v>
      </c>
      <c r="K47" s="90" t="s">
        <v>219</v>
      </c>
      <c r="L47" s="87">
        <f>VLOOKUP(K47,Reinigungstage!$A$10:$H$31,8,FALSE)</f>
        <v>1</v>
      </c>
      <c r="M47" s="87">
        <f t="shared" si="2"/>
        <v>50.54</v>
      </c>
      <c r="N47" s="91">
        <f>VLOOKUP(J47,'Lei Grund OS Nossen'!$A$6:$B$14,2,0)</f>
        <v>0</v>
      </c>
      <c r="O47" s="92" t="str">
        <f ca="1">'SVS GrundRG'!$H$61</f>
        <v/>
      </c>
      <c r="P47" s="87">
        <f t="shared" si="3"/>
        <v>0</v>
      </c>
      <c r="Q47" s="87">
        <f t="shared" si="4"/>
        <v>0</v>
      </c>
      <c r="R47" s="87">
        <f t="shared" si="5"/>
        <v>0</v>
      </c>
      <c r="S47" s="87">
        <f t="shared" si="6"/>
        <v>0</v>
      </c>
    </row>
    <row r="48" spans="1:19" x14ac:dyDescent="0.25">
      <c r="A48" s="62">
        <v>43</v>
      </c>
      <c r="B48" s="93">
        <v>18</v>
      </c>
      <c r="C48" s="105" t="s">
        <v>196</v>
      </c>
      <c r="D48" s="89" t="s">
        <v>208</v>
      </c>
      <c r="E48" s="108" t="s">
        <v>291</v>
      </c>
      <c r="F48" s="110" t="s">
        <v>197</v>
      </c>
      <c r="G48" s="109">
        <v>50.54</v>
      </c>
      <c r="H48" s="87"/>
      <c r="I48" s="87"/>
      <c r="J48" s="89" t="s">
        <v>173</v>
      </c>
      <c r="K48" s="90" t="s">
        <v>219</v>
      </c>
      <c r="L48" s="87">
        <f>VLOOKUP(K48,Reinigungstage!$A$10:$H$31,8,FALSE)</f>
        <v>1</v>
      </c>
      <c r="M48" s="87">
        <f t="shared" si="2"/>
        <v>50.54</v>
      </c>
      <c r="N48" s="91">
        <f>VLOOKUP(J48,'Lei Grund OS Nossen'!$A$6:$B$14,2,0)</f>
        <v>0</v>
      </c>
      <c r="O48" s="92" t="str">
        <f ca="1">'SVS GrundRG'!$H$61</f>
        <v/>
      </c>
      <c r="P48" s="87">
        <f t="shared" si="3"/>
        <v>0</v>
      </c>
      <c r="Q48" s="87">
        <f t="shared" si="4"/>
        <v>0</v>
      </c>
      <c r="R48" s="87">
        <f t="shared" si="5"/>
        <v>0</v>
      </c>
      <c r="S48" s="87">
        <f t="shared" si="6"/>
        <v>0</v>
      </c>
    </row>
    <row r="49" spans="1:19" x14ac:dyDescent="0.25">
      <c r="A49" s="62">
        <v>44</v>
      </c>
      <c r="B49" s="93">
        <v>19</v>
      </c>
      <c r="C49" s="105" t="s">
        <v>196</v>
      </c>
      <c r="D49" s="89" t="s">
        <v>208</v>
      </c>
      <c r="E49" s="108" t="s">
        <v>292</v>
      </c>
      <c r="F49" s="110" t="s">
        <v>229</v>
      </c>
      <c r="G49" s="109">
        <v>36.630000000000003</v>
      </c>
      <c r="H49" s="87"/>
      <c r="I49" s="87">
        <v>1</v>
      </c>
      <c r="J49" s="89" t="s">
        <v>174</v>
      </c>
      <c r="K49" s="90" t="s">
        <v>219</v>
      </c>
      <c r="L49" s="87">
        <f>VLOOKUP(K49,Reinigungstage!$A$10:$H$31,8,FALSE)</f>
        <v>1</v>
      </c>
      <c r="M49" s="87">
        <f t="shared" si="2"/>
        <v>36.630000000000003</v>
      </c>
      <c r="N49" s="91">
        <f>VLOOKUP(J49,'Lei Grund OS Nossen'!$A$6:$B$14,2,0)</f>
        <v>0</v>
      </c>
      <c r="O49" s="92" t="str">
        <f ca="1">'SVS GrundRG'!$H$61</f>
        <v/>
      </c>
      <c r="P49" s="87">
        <f t="shared" si="3"/>
        <v>0</v>
      </c>
      <c r="Q49" s="87">
        <f t="shared" si="4"/>
        <v>0</v>
      </c>
      <c r="R49" s="87">
        <f t="shared" si="5"/>
        <v>0</v>
      </c>
      <c r="S49" s="87">
        <f t="shared" si="6"/>
        <v>0</v>
      </c>
    </row>
    <row r="50" spans="1:19" x14ac:dyDescent="0.25">
      <c r="A50" s="62">
        <v>45</v>
      </c>
      <c r="B50" s="93">
        <v>20</v>
      </c>
      <c r="C50" s="105" t="s">
        <v>196</v>
      </c>
      <c r="D50" s="89" t="s">
        <v>208</v>
      </c>
      <c r="E50" s="108" t="s">
        <v>291</v>
      </c>
      <c r="F50" s="110" t="s">
        <v>197</v>
      </c>
      <c r="G50" s="109">
        <v>50.54</v>
      </c>
      <c r="H50" s="87"/>
      <c r="I50" s="87"/>
      <c r="J50" s="89" t="s">
        <v>173</v>
      </c>
      <c r="K50" s="90" t="s">
        <v>219</v>
      </c>
      <c r="L50" s="87">
        <f>VLOOKUP(K50,Reinigungstage!$A$10:$H$31,8,FALSE)</f>
        <v>1</v>
      </c>
      <c r="M50" s="87">
        <f t="shared" si="2"/>
        <v>50.54</v>
      </c>
      <c r="N50" s="91">
        <f>VLOOKUP(J50,'Lei Grund OS Nossen'!$A$6:$B$14,2,0)</f>
        <v>0</v>
      </c>
      <c r="O50" s="92" t="str">
        <f ca="1">'SVS GrundRG'!$H$61</f>
        <v/>
      </c>
      <c r="P50" s="87">
        <f t="shared" si="3"/>
        <v>0</v>
      </c>
      <c r="Q50" s="87">
        <f t="shared" si="4"/>
        <v>0</v>
      </c>
      <c r="R50" s="87">
        <f t="shared" si="5"/>
        <v>0</v>
      </c>
      <c r="S50" s="87">
        <f t="shared" si="6"/>
        <v>0</v>
      </c>
    </row>
    <row r="51" spans="1:19" x14ac:dyDescent="0.25">
      <c r="A51" s="62">
        <v>46</v>
      </c>
      <c r="B51" s="93">
        <v>21</v>
      </c>
      <c r="C51" s="105" t="s">
        <v>196</v>
      </c>
      <c r="D51" s="89" t="s">
        <v>208</v>
      </c>
      <c r="E51" s="108" t="s">
        <v>291</v>
      </c>
      <c r="F51" s="110" t="s">
        <v>197</v>
      </c>
      <c r="G51" s="106">
        <v>50.54</v>
      </c>
      <c r="H51" s="87"/>
      <c r="I51" s="87"/>
      <c r="J51" s="89" t="s">
        <v>173</v>
      </c>
      <c r="K51" s="90" t="s">
        <v>219</v>
      </c>
      <c r="L51" s="87">
        <f>VLOOKUP(K51,Reinigungstage!$A$10:$H$31,8,FALSE)</f>
        <v>1</v>
      </c>
      <c r="M51" s="87">
        <f t="shared" si="2"/>
        <v>50.54</v>
      </c>
      <c r="N51" s="91">
        <f>VLOOKUP(J51,'Lei Grund OS Nossen'!$A$6:$B$14,2,0)</f>
        <v>0</v>
      </c>
      <c r="O51" s="92" t="str">
        <f ca="1">'SVS GrundRG'!$H$61</f>
        <v/>
      </c>
      <c r="P51" s="87">
        <f t="shared" si="3"/>
        <v>0</v>
      </c>
      <c r="Q51" s="87">
        <f t="shared" si="4"/>
        <v>0</v>
      </c>
      <c r="R51" s="87">
        <f t="shared" si="5"/>
        <v>0</v>
      </c>
      <c r="S51" s="87">
        <f t="shared" si="6"/>
        <v>0</v>
      </c>
    </row>
    <row r="52" spans="1:19" x14ac:dyDescent="0.25">
      <c r="A52" s="62">
        <v>47</v>
      </c>
      <c r="B52" s="93">
        <v>22</v>
      </c>
      <c r="C52" s="105" t="s">
        <v>196</v>
      </c>
      <c r="D52" s="89" t="s">
        <v>208</v>
      </c>
      <c r="E52" s="108" t="s">
        <v>292</v>
      </c>
      <c r="F52" s="110" t="s">
        <v>229</v>
      </c>
      <c r="G52" s="109">
        <v>36.94</v>
      </c>
      <c r="H52" s="87"/>
      <c r="I52" s="87">
        <v>1</v>
      </c>
      <c r="J52" s="89" t="s">
        <v>174</v>
      </c>
      <c r="K52" s="90" t="s">
        <v>219</v>
      </c>
      <c r="L52" s="87">
        <f>VLOOKUP(K52,Reinigungstage!$A$10:$H$31,8,FALSE)</f>
        <v>1</v>
      </c>
      <c r="M52" s="87">
        <f t="shared" si="2"/>
        <v>36.94</v>
      </c>
      <c r="N52" s="91">
        <f>VLOOKUP(J52,'Lei Grund OS Nossen'!$A$6:$B$14,2,0)</f>
        <v>0</v>
      </c>
      <c r="O52" s="92" t="str">
        <f ca="1">'SVS GrundRG'!$H$61</f>
        <v/>
      </c>
      <c r="P52" s="87">
        <f t="shared" si="3"/>
        <v>0</v>
      </c>
      <c r="Q52" s="87">
        <f t="shared" si="4"/>
        <v>0</v>
      </c>
      <c r="R52" s="87">
        <f t="shared" si="5"/>
        <v>0</v>
      </c>
      <c r="S52" s="87">
        <f t="shared" si="6"/>
        <v>0</v>
      </c>
    </row>
    <row r="53" spans="1:19" x14ac:dyDescent="0.25">
      <c r="A53" s="62">
        <v>48</v>
      </c>
      <c r="B53" s="93">
        <v>23</v>
      </c>
      <c r="C53" s="105" t="s">
        <v>196</v>
      </c>
      <c r="D53" s="89" t="s">
        <v>208</v>
      </c>
      <c r="E53" s="108" t="s">
        <v>291</v>
      </c>
      <c r="F53" s="110" t="s">
        <v>197</v>
      </c>
      <c r="G53" s="109">
        <v>50.54</v>
      </c>
      <c r="H53" s="87"/>
      <c r="I53" s="87"/>
      <c r="J53" s="89" t="s">
        <v>173</v>
      </c>
      <c r="K53" s="90" t="s">
        <v>219</v>
      </c>
      <c r="L53" s="87">
        <f>VLOOKUP(K53,Reinigungstage!$A$10:$H$31,8,FALSE)</f>
        <v>1</v>
      </c>
      <c r="M53" s="87">
        <f t="shared" si="2"/>
        <v>50.54</v>
      </c>
      <c r="N53" s="91">
        <f>VLOOKUP(J53,'Lei Grund OS Nossen'!$A$6:$B$14,2,0)</f>
        <v>0</v>
      </c>
      <c r="O53" s="92" t="str">
        <f ca="1">'SVS GrundRG'!$H$61</f>
        <v/>
      </c>
      <c r="P53" s="87">
        <f t="shared" si="3"/>
        <v>0</v>
      </c>
      <c r="Q53" s="87">
        <f t="shared" si="4"/>
        <v>0</v>
      </c>
      <c r="R53" s="87">
        <f t="shared" si="5"/>
        <v>0</v>
      </c>
      <c r="S53" s="87">
        <f t="shared" si="6"/>
        <v>0</v>
      </c>
    </row>
    <row r="54" spans="1:19" x14ac:dyDescent="0.25">
      <c r="A54" s="62">
        <v>49</v>
      </c>
      <c r="B54" s="89">
        <v>101</v>
      </c>
      <c r="C54" s="105" t="s">
        <v>201</v>
      </c>
      <c r="D54" s="89" t="s">
        <v>208</v>
      </c>
      <c r="E54" s="108" t="s">
        <v>293</v>
      </c>
      <c r="F54" s="110" t="s">
        <v>197</v>
      </c>
      <c r="G54" s="109">
        <v>76.349999999999994</v>
      </c>
      <c r="H54" s="87"/>
      <c r="I54" s="87"/>
      <c r="J54" s="89" t="s">
        <v>173</v>
      </c>
      <c r="K54" s="90" t="s">
        <v>219</v>
      </c>
      <c r="L54" s="87">
        <f>VLOOKUP(K54,Reinigungstage!$A$10:$H$31,8,FALSE)</f>
        <v>1</v>
      </c>
      <c r="M54" s="87">
        <f t="shared" si="2"/>
        <v>76.349999999999994</v>
      </c>
      <c r="N54" s="91">
        <f>VLOOKUP(J54,'Lei Grund OS Nossen'!$A$6:$B$14,2,0)</f>
        <v>0</v>
      </c>
      <c r="O54" s="92" t="str">
        <f ca="1">'SVS GrundRG'!$H$61</f>
        <v/>
      </c>
      <c r="P54" s="87">
        <f t="shared" si="3"/>
        <v>0</v>
      </c>
      <c r="Q54" s="87">
        <f t="shared" si="4"/>
        <v>0</v>
      </c>
      <c r="R54" s="87">
        <f t="shared" si="5"/>
        <v>0</v>
      </c>
      <c r="S54" s="87">
        <f t="shared" si="6"/>
        <v>0</v>
      </c>
    </row>
    <row r="55" spans="1:19" x14ac:dyDescent="0.25">
      <c r="A55" s="62">
        <v>50</v>
      </c>
      <c r="B55" s="89">
        <v>102</v>
      </c>
      <c r="C55" s="105" t="s">
        <v>201</v>
      </c>
      <c r="D55" s="89" t="s">
        <v>208</v>
      </c>
      <c r="E55" s="108" t="s">
        <v>294</v>
      </c>
      <c r="F55" s="110" t="s">
        <v>197</v>
      </c>
      <c r="G55" s="109">
        <v>33.65</v>
      </c>
      <c r="H55" s="87"/>
      <c r="I55" s="87"/>
      <c r="J55" s="89" t="s">
        <v>168</v>
      </c>
      <c r="K55" s="90" t="s">
        <v>219</v>
      </c>
      <c r="L55" s="87">
        <f>VLOOKUP(K55,Reinigungstage!$A$10:$H$31,8,FALSE)</f>
        <v>1</v>
      </c>
      <c r="M55" s="87">
        <f t="shared" si="2"/>
        <v>33.65</v>
      </c>
      <c r="N55" s="91">
        <f>VLOOKUP(J55,'Lei Grund OS Nossen'!$A$6:$B$14,2,0)</f>
        <v>0</v>
      </c>
      <c r="O55" s="92" t="str">
        <f ca="1">'SVS GrundRG'!$H$61</f>
        <v/>
      </c>
      <c r="P55" s="87">
        <f t="shared" si="3"/>
        <v>0</v>
      </c>
      <c r="Q55" s="87">
        <f t="shared" si="4"/>
        <v>0</v>
      </c>
      <c r="R55" s="87">
        <f t="shared" si="5"/>
        <v>0</v>
      </c>
      <c r="S55" s="87">
        <f t="shared" si="6"/>
        <v>0</v>
      </c>
    </row>
    <row r="56" spans="1:19" x14ac:dyDescent="0.25">
      <c r="A56" s="62">
        <v>51</v>
      </c>
      <c r="B56" s="89">
        <v>103</v>
      </c>
      <c r="C56" s="105" t="s">
        <v>201</v>
      </c>
      <c r="D56" s="89" t="s">
        <v>208</v>
      </c>
      <c r="E56" s="108" t="s">
        <v>238</v>
      </c>
      <c r="F56" s="110" t="s">
        <v>197</v>
      </c>
      <c r="G56" s="109">
        <v>44.23</v>
      </c>
      <c r="H56" s="87"/>
      <c r="I56" s="87"/>
      <c r="J56" s="89" t="s">
        <v>171</v>
      </c>
      <c r="K56" s="90" t="s">
        <v>219</v>
      </c>
      <c r="L56" s="87">
        <f>VLOOKUP(K56,Reinigungstage!$A$10:$H$31,8,FALSE)</f>
        <v>1</v>
      </c>
      <c r="M56" s="87">
        <f t="shared" si="2"/>
        <v>44.23</v>
      </c>
      <c r="N56" s="91">
        <f>VLOOKUP(J56,'Lei Grund OS Nossen'!$A$6:$B$14,2,0)</f>
        <v>0</v>
      </c>
      <c r="O56" s="92" t="str">
        <f ca="1">'SVS GrundRG'!$H$61</f>
        <v/>
      </c>
      <c r="P56" s="87">
        <f t="shared" si="3"/>
        <v>0</v>
      </c>
      <c r="Q56" s="87">
        <f t="shared" si="4"/>
        <v>0</v>
      </c>
      <c r="R56" s="87">
        <f t="shared" si="5"/>
        <v>0</v>
      </c>
      <c r="S56" s="87">
        <f t="shared" si="6"/>
        <v>0</v>
      </c>
    </row>
    <row r="57" spans="1:19" x14ac:dyDescent="0.25">
      <c r="A57" s="62">
        <v>52</v>
      </c>
      <c r="B57" s="89">
        <v>104</v>
      </c>
      <c r="C57" s="105" t="s">
        <v>201</v>
      </c>
      <c r="D57" s="89" t="s">
        <v>208</v>
      </c>
      <c r="E57" s="108" t="s">
        <v>223</v>
      </c>
      <c r="F57" s="110" t="s">
        <v>224</v>
      </c>
      <c r="G57" s="109">
        <v>46.32</v>
      </c>
      <c r="H57" s="87"/>
      <c r="I57" s="87"/>
      <c r="J57" s="89" t="s">
        <v>167</v>
      </c>
      <c r="K57" s="90" t="s">
        <v>219</v>
      </c>
      <c r="L57" s="87">
        <f>VLOOKUP(K57,Reinigungstage!$A$10:$H$31,8,FALSE)</f>
        <v>1</v>
      </c>
      <c r="M57" s="87">
        <f t="shared" si="2"/>
        <v>46.32</v>
      </c>
      <c r="N57" s="91">
        <f>VLOOKUP(J57,'Lei Grund OS Nossen'!$A$6:$B$14,2,0)</f>
        <v>0</v>
      </c>
      <c r="O57" s="92" t="str">
        <f ca="1">'SVS GrundRG'!$H$61</f>
        <v/>
      </c>
      <c r="P57" s="87">
        <f t="shared" si="3"/>
        <v>0</v>
      </c>
      <c r="Q57" s="87">
        <f t="shared" si="4"/>
        <v>0</v>
      </c>
      <c r="R57" s="87">
        <f t="shared" si="5"/>
        <v>0</v>
      </c>
      <c r="S57" s="87">
        <f t="shared" si="6"/>
        <v>0</v>
      </c>
    </row>
    <row r="58" spans="1:19" x14ac:dyDescent="0.25">
      <c r="A58" s="62">
        <v>53</v>
      </c>
      <c r="B58" s="89">
        <v>105</v>
      </c>
      <c r="C58" s="105" t="s">
        <v>201</v>
      </c>
      <c r="D58" s="89" t="s">
        <v>208</v>
      </c>
      <c r="E58" s="108" t="s">
        <v>295</v>
      </c>
      <c r="F58" s="110" t="s">
        <v>224</v>
      </c>
      <c r="G58" s="109">
        <v>16.62</v>
      </c>
      <c r="H58" s="87"/>
      <c r="I58" s="87"/>
      <c r="J58" s="89" t="s">
        <v>167</v>
      </c>
      <c r="K58" s="90" t="s">
        <v>219</v>
      </c>
      <c r="L58" s="87">
        <f>VLOOKUP(K58,Reinigungstage!$A$10:$H$31,8,FALSE)</f>
        <v>1</v>
      </c>
      <c r="M58" s="87">
        <f t="shared" si="2"/>
        <v>16.62</v>
      </c>
      <c r="N58" s="91">
        <f>VLOOKUP(J58,'Lei Grund OS Nossen'!$A$6:$B$14,2,0)</f>
        <v>0</v>
      </c>
      <c r="O58" s="92" t="str">
        <f ca="1">'SVS GrundRG'!$H$61</f>
        <v/>
      </c>
      <c r="P58" s="87">
        <f t="shared" si="3"/>
        <v>0</v>
      </c>
      <c r="Q58" s="87">
        <f t="shared" si="4"/>
        <v>0</v>
      </c>
      <c r="R58" s="87">
        <f t="shared" si="5"/>
        <v>0</v>
      </c>
      <c r="S58" s="87">
        <f t="shared" si="6"/>
        <v>0</v>
      </c>
    </row>
    <row r="59" spans="1:19" x14ac:dyDescent="0.25">
      <c r="A59" s="62">
        <v>54</v>
      </c>
      <c r="B59" s="89">
        <v>106</v>
      </c>
      <c r="C59" s="105" t="s">
        <v>201</v>
      </c>
      <c r="D59" s="89" t="s">
        <v>208</v>
      </c>
      <c r="E59" s="108" t="s">
        <v>296</v>
      </c>
      <c r="F59" s="110" t="s">
        <v>224</v>
      </c>
      <c r="G59" s="109">
        <v>16.62</v>
      </c>
      <c r="H59" s="87"/>
      <c r="I59" s="87"/>
      <c r="J59" s="89" t="s">
        <v>167</v>
      </c>
      <c r="K59" s="90" t="s">
        <v>219</v>
      </c>
      <c r="L59" s="87">
        <f>VLOOKUP(K59,Reinigungstage!$A$10:$H$31,8,FALSE)</f>
        <v>1</v>
      </c>
      <c r="M59" s="87">
        <f t="shared" si="2"/>
        <v>16.62</v>
      </c>
      <c r="N59" s="91">
        <f>VLOOKUP(J59,'Lei Grund OS Nossen'!$A$6:$B$14,2,0)</f>
        <v>0</v>
      </c>
      <c r="O59" s="92" t="str">
        <f ca="1">'SVS GrundRG'!$H$61</f>
        <v/>
      </c>
      <c r="P59" s="87">
        <f t="shared" si="3"/>
        <v>0</v>
      </c>
      <c r="Q59" s="87">
        <f t="shared" si="4"/>
        <v>0</v>
      </c>
      <c r="R59" s="87">
        <f t="shared" si="5"/>
        <v>0</v>
      </c>
      <c r="S59" s="87">
        <f t="shared" si="6"/>
        <v>0</v>
      </c>
    </row>
    <row r="60" spans="1:19" x14ac:dyDescent="0.25">
      <c r="A60" s="62">
        <v>55</v>
      </c>
      <c r="B60" s="89">
        <v>107</v>
      </c>
      <c r="C60" s="105" t="s">
        <v>201</v>
      </c>
      <c r="D60" s="89" t="s">
        <v>208</v>
      </c>
      <c r="E60" s="108" t="s">
        <v>297</v>
      </c>
      <c r="F60" s="110" t="s">
        <v>224</v>
      </c>
      <c r="G60" s="109">
        <v>16.37</v>
      </c>
      <c r="H60" s="87"/>
      <c r="I60" s="87"/>
      <c r="J60" s="89" t="s">
        <v>167</v>
      </c>
      <c r="K60" s="90" t="s">
        <v>219</v>
      </c>
      <c r="L60" s="87">
        <f>VLOOKUP(K60,Reinigungstage!$A$10:$H$31,8,FALSE)</f>
        <v>1</v>
      </c>
      <c r="M60" s="87">
        <f t="shared" si="2"/>
        <v>16.37</v>
      </c>
      <c r="N60" s="91">
        <f>VLOOKUP(J60,'Lei Grund OS Nossen'!$A$6:$B$14,2,0)</f>
        <v>0</v>
      </c>
      <c r="O60" s="92" t="str">
        <f ca="1">'SVS GrundRG'!$H$61</f>
        <v/>
      </c>
      <c r="P60" s="87">
        <f t="shared" si="3"/>
        <v>0</v>
      </c>
      <c r="Q60" s="87">
        <f t="shared" si="4"/>
        <v>0</v>
      </c>
      <c r="R60" s="87">
        <f t="shared" si="5"/>
        <v>0</v>
      </c>
      <c r="S60" s="87">
        <f t="shared" si="6"/>
        <v>0</v>
      </c>
    </row>
    <row r="61" spans="1:19" x14ac:dyDescent="0.25">
      <c r="A61" s="62">
        <v>56</v>
      </c>
      <c r="B61" s="89">
        <v>108</v>
      </c>
      <c r="C61" s="105" t="s">
        <v>201</v>
      </c>
      <c r="D61" s="89" t="s">
        <v>208</v>
      </c>
      <c r="E61" s="108" t="s">
        <v>298</v>
      </c>
      <c r="F61" s="110" t="s">
        <v>197</v>
      </c>
      <c r="G61" s="109">
        <v>75.819999999999993</v>
      </c>
      <c r="H61" s="87"/>
      <c r="I61" s="87"/>
      <c r="J61" s="89" t="s">
        <v>171</v>
      </c>
      <c r="K61" s="90" t="s">
        <v>219</v>
      </c>
      <c r="L61" s="87">
        <f>VLOOKUP(K61,Reinigungstage!$A$10:$H$31,8,FALSE)</f>
        <v>1</v>
      </c>
      <c r="M61" s="87">
        <f t="shared" si="2"/>
        <v>75.819999999999993</v>
      </c>
      <c r="N61" s="91">
        <f>VLOOKUP(J61,'Lei Grund OS Nossen'!$A$6:$B$14,2,0)</f>
        <v>0</v>
      </c>
      <c r="O61" s="92" t="str">
        <f ca="1">'SVS GrundRG'!$H$61</f>
        <v/>
      </c>
      <c r="P61" s="87">
        <f t="shared" si="3"/>
        <v>0</v>
      </c>
      <c r="Q61" s="87">
        <f t="shared" si="4"/>
        <v>0</v>
      </c>
      <c r="R61" s="87">
        <f t="shared" si="5"/>
        <v>0</v>
      </c>
      <c r="S61" s="87">
        <f t="shared" si="6"/>
        <v>0</v>
      </c>
    </row>
    <row r="62" spans="1:19" x14ac:dyDescent="0.25">
      <c r="A62" s="62">
        <v>57</v>
      </c>
      <c r="B62" s="89">
        <v>109</v>
      </c>
      <c r="C62" s="105" t="s">
        <v>201</v>
      </c>
      <c r="D62" s="89" t="s">
        <v>208</v>
      </c>
      <c r="E62" s="108" t="s">
        <v>237</v>
      </c>
      <c r="F62" s="110" t="s">
        <v>197</v>
      </c>
      <c r="G62" s="109">
        <v>32.32</v>
      </c>
      <c r="H62" s="87"/>
      <c r="I62" s="87"/>
      <c r="J62" s="89" t="s">
        <v>174</v>
      </c>
      <c r="K62" s="90" t="s">
        <v>219</v>
      </c>
      <c r="L62" s="87">
        <f>VLOOKUP(K62,Reinigungstage!$A$10:$H$31,8,FALSE)</f>
        <v>1</v>
      </c>
      <c r="M62" s="87">
        <f t="shared" si="2"/>
        <v>32.32</v>
      </c>
      <c r="N62" s="91">
        <f>VLOOKUP(J62,'Lei Grund OS Nossen'!$A$6:$B$14,2,0)</f>
        <v>0</v>
      </c>
      <c r="O62" s="92" t="str">
        <f ca="1">'SVS GrundRG'!$H$61</f>
        <v/>
      </c>
      <c r="P62" s="87">
        <f t="shared" si="3"/>
        <v>0</v>
      </c>
      <c r="Q62" s="87">
        <f t="shared" si="4"/>
        <v>0</v>
      </c>
      <c r="R62" s="87">
        <f t="shared" si="5"/>
        <v>0</v>
      </c>
      <c r="S62" s="87">
        <f t="shared" si="6"/>
        <v>0</v>
      </c>
    </row>
    <row r="63" spans="1:19" x14ac:dyDescent="0.25">
      <c r="A63" s="62">
        <v>58</v>
      </c>
      <c r="B63" s="89">
        <v>110</v>
      </c>
      <c r="C63" s="105" t="s">
        <v>201</v>
      </c>
      <c r="D63" s="89" t="s">
        <v>208</v>
      </c>
      <c r="E63" s="108" t="s">
        <v>204</v>
      </c>
      <c r="F63" s="110" t="s">
        <v>200</v>
      </c>
      <c r="G63" s="109">
        <v>32.729999999999997</v>
      </c>
      <c r="H63" s="87"/>
      <c r="I63" s="87"/>
      <c r="J63" s="89" t="s">
        <v>169</v>
      </c>
      <c r="K63" s="90" t="s">
        <v>219</v>
      </c>
      <c r="L63" s="87">
        <f>VLOOKUP(K63,Reinigungstage!$A$10:$H$31,8,FALSE)</f>
        <v>1</v>
      </c>
      <c r="M63" s="87">
        <f t="shared" si="2"/>
        <v>32.729999999999997</v>
      </c>
      <c r="N63" s="91">
        <f>VLOOKUP(J63,'Lei Grund OS Nossen'!$A$6:$B$14,2,0)</f>
        <v>0</v>
      </c>
      <c r="O63" s="92" t="str">
        <f ca="1">'SVS GrundRG'!$H$61</f>
        <v/>
      </c>
      <c r="P63" s="87">
        <f t="shared" si="3"/>
        <v>0</v>
      </c>
      <c r="Q63" s="87">
        <f t="shared" si="4"/>
        <v>0</v>
      </c>
      <c r="R63" s="87">
        <f t="shared" si="5"/>
        <v>0</v>
      </c>
      <c r="S63" s="87">
        <f t="shared" si="6"/>
        <v>0</v>
      </c>
    </row>
    <row r="64" spans="1:19" x14ac:dyDescent="0.25">
      <c r="A64" s="62">
        <v>59</v>
      </c>
      <c r="B64" s="89">
        <v>111</v>
      </c>
      <c r="C64" s="105" t="s">
        <v>201</v>
      </c>
      <c r="D64" s="89" t="s">
        <v>208</v>
      </c>
      <c r="E64" s="108" t="s">
        <v>203</v>
      </c>
      <c r="F64" s="110" t="s">
        <v>200</v>
      </c>
      <c r="G64" s="109">
        <v>33.01</v>
      </c>
      <c r="H64" s="87"/>
      <c r="I64" s="87"/>
      <c r="J64" s="89" t="s">
        <v>169</v>
      </c>
      <c r="K64" s="90" t="s">
        <v>219</v>
      </c>
      <c r="L64" s="87">
        <f>VLOOKUP(K64,Reinigungstage!$A$10:$H$31,8,FALSE)</f>
        <v>1</v>
      </c>
      <c r="M64" s="87">
        <f t="shared" si="2"/>
        <v>33.01</v>
      </c>
      <c r="N64" s="91">
        <f>VLOOKUP(J64,'Lei Grund OS Nossen'!$A$6:$B$14,2,0)</f>
        <v>0</v>
      </c>
      <c r="O64" s="92" t="str">
        <f ca="1">'SVS GrundRG'!$H$61</f>
        <v/>
      </c>
      <c r="P64" s="87">
        <f t="shared" si="3"/>
        <v>0</v>
      </c>
      <c r="Q64" s="87">
        <f t="shared" si="4"/>
        <v>0</v>
      </c>
      <c r="R64" s="87">
        <f t="shared" si="5"/>
        <v>0</v>
      </c>
      <c r="S64" s="87">
        <f t="shared" si="6"/>
        <v>0</v>
      </c>
    </row>
    <row r="65" spans="1:19" x14ac:dyDescent="0.25">
      <c r="A65" s="62">
        <v>60</v>
      </c>
      <c r="B65" s="89">
        <v>112</v>
      </c>
      <c r="C65" s="105" t="s">
        <v>201</v>
      </c>
      <c r="D65" s="89" t="s">
        <v>208</v>
      </c>
      <c r="E65" s="108" t="s">
        <v>299</v>
      </c>
      <c r="F65" s="110" t="s">
        <v>197</v>
      </c>
      <c r="G65" s="109">
        <v>51.47</v>
      </c>
      <c r="H65" s="87"/>
      <c r="I65" s="87"/>
      <c r="J65" s="89" t="s">
        <v>171</v>
      </c>
      <c r="K65" s="90" t="s">
        <v>219</v>
      </c>
      <c r="L65" s="87">
        <f>VLOOKUP(K65,Reinigungstage!$A$10:$H$31,8,FALSE)</f>
        <v>1</v>
      </c>
      <c r="M65" s="87">
        <f t="shared" si="2"/>
        <v>51.47</v>
      </c>
      <c r="N65" s="91">
        <f>VLOOKUP(J65,'Lei Grund OS Nossen'!$A$6:$B$14,2,0)</f>
        <v>0</v>
      </c>
      <c r="O65" s="92" t="str">
        <f ca="1">'SVS GrundRG'!$H$61</f>
        <v/>
      </c>
      <c r="P65" s="87">
        <f t="shared" si="3"/>
        <v>0</v>
      </c>
      <c r="Q65" s="87">
        <f t="shared" si="4"/>
        <v>0</v>
      </c>
      <c r="R65" s="87">
        <f t="shared" si="5"/>
        <v>0</v>
      </c>
      <c r="S65" s="87">
        <f t="shared" si="6"/>
        <v>0</v>
      </c>
    </row>
    <row r="66" spans="1:19" x14ac:dyDescent="0.25">
      <c r="A66" s="62">
        <v>61</v>
      </c>
      <c r="B66" s="89">
        <v>113</v>
      </c>
      <c r="C66" s="105" t="s">
        <v>201</v>
      </c>
      <c r="D66" s="89" t="s">
        <v>208</v>
      </c>
      <c r="E66" s="108" t="s">
        <v>300</v>
      </c>
      <c r="F66" s="110" t="s">
        <v>197</v>
      </c>
      <c r="G66" s="109">
        <v>16.399999999999999</v>
      </c>
      <c r="H66" s="87"/>
      <c r="I66" s="87"/>
      <c r="J66" s="89" t="s">
        <v>168</v>
      </c>
      <c r="K66" s="90" t="s">
        <v>219</v>
      </c>
      <c r="L66" s="87">
        <f>VLOOKUP(K66,Reinigungstage!$A$10:$H$31,8,FALSE)</f>
        <v>1</v>
      </c>
      <c r="M66" s="87">
        <f t="shared" ref="M66:M105" si="7">ROUND(IF(L66=0,0,L66*G66),2)</f>
        <v>16.399999999999999</v>
      </c>
      <c r="N66" s="91">
        <f>VLOOKUP(J66,'Lei Grund OS Nossen'!$A$6:$B$14,2,0)</f>
        <v>0</v>
      </c>
      <c r="O66" s="92" t="str">
        <f ca="1">'SVS GrundRG'!$H$61</f>
        <v/>
      </c>
      <c r="P66" s="87">
        <f t="shared" ref="P66:P105" si="8">ROUND(IF(N66=0,0,M66/N66),2)</f>
        <v>0</v>
      </c>
      <c r="Q66" s="87">
        <f t="shared" ref="Q66:Q105" si="9">ROUND(IF(P66=0,0,P66*O66),2)</f>
        <v>0</v>
      </c>
      <c r="R66" s="87">
        <f t="shared" ref="R66:R105" si="10">ROUND(IF(P66=0,0,P66/L66),2)</f>
        <v>0</v>
      </c>
      <c r="S66" s="87">
        <f t="shared" ref="S66:S105" si="11">ROUND(IF(Q66=0,0,Q66/L66),2)</f>
        <v>0</v>
      </c>
    </row>
    <row r="67" spans="1:19" x14ac:dyDescent="0.25">
      <c r="A67" s="62">
        <v>62</v>
      </c>
      <c r="B67" s="89">
        <v>114</v>
      </c>
      <c r="C67" s="105" t="s">
        <v>201</v>
      </c>
      <c r="D67" s="89" t="s">
        <v>208</v>
      </c>
      <c r="E67" s="108" t="s">
        <v>301</v>
      </c>
      <c r="F67" s="110" t="s">
        <v>197</v>
      </c>
      <c r="G67" s="109">
        <v>50.57</v>
      </c>
      <c r="H67" s="87"/>
      <c r="I67" s="87"/>
      <c r="J67" s="89" t="s">
        <v>173</v>
      </c>
      <c r="K67" s="90" t="s">
        <v>219</v>
      </c>
      <c r="L67" s="87">
        <f>VLOOKUP(K67,Reinigungstage!$A$10:$H$31,8,FALSE)</f>
        <v>1</v>
      </c>
      <c r="M67" s="87">
        <f t="shared" si="7"/>
        <v>50.57</v>
      </c>
      <c r="N67" s="91">
        <f>VLOOKUP(J67,'Lei Grund OS Nossen'!$A$6:$B$14,2,0)</f>
        <v>0</v>
      </c>
      <c r="O67" s="92" t="str">
        <f ca="1">'SVS GrundRG'!$H$61</f>
        <v/>
      </c>
      <c r="P67" s="87">
        <f t="shared" si="8"/>
        <v>0</v>
      </c>
      <c r="Q67" s="87">
        <f t="shared" si="9"/>
        <v>0</v>
      </c>
      <c r="R67" s="87">
        <f t="shared" si="10"/>
        <v>0</v>
      </c>
      <c r="S67" s="87">
        <f t="shared" si="11"/>
        <v>0</v>
      </c>
    </row>
    <row r="68" spans="1:19" x14ac:dyDescent="0.25">
      <c r="A68" s="62">
        <v>63</v>
      </c>
      <c r="B68" s="89">
        <v>115</v>
      </c>
      <c r="C68" s="105" t="s">
        <v>201</v>
      </c>
      <c r="D68" s="89" t="s">
        <v>208</v>
      </c>
      <c r="E68" s="108" t="s">
        <v>237</v>
      </c>
      <c r="F68" s="110" t="s">
        <v>197</v>
      </c>
      <c r="G68" s="109">
        <v>37.31</v>
      </c>
      <c r="H68" s="87"/>
      <c r="I68" s="87"/>
      <c r="J68" s="89" t="s">
        <v>174</v>
      </c>
      <c r="K68" s="90" t="s">
        <v>219</v>
      </c>
      <c r="L68" s="87">
        <f>VLOOKUP(K68,Reinigungstage!$A$10:$H$31,8,FALSE)</f>
        <v>1</v>
      </c>
      <c r="M68" s="87">
        <f t="shared" si="7"/>
        <v>37.31</v>
      </c>
      <c r="N68" s="91">
        <f>VLOOKUP(J68,'Lei Grund OS Nossen'!$A$6:$B$14,2,0)</f>
        <v>0</v>
      </c>
      <c r="O68" s="92" t="str">
        <f ca="1">'SVS GrundRG'!$H$61</f>
        <v/>
      </c>
      <c r="P68" s="87">
        <f t="shared" si="8"/>
        <v>0</v>
      </c>
      <c r="Q68" s="87">
        <f t="shared" si="9"/>
        <v>0</v>
      </c>
      <c r="R68" s="87">
        <f t="shared" si="10"/>
        <v>0</v>
      </c>
      <c r="S68" s="87">
        <f t="shared" si="11"/>
        <v>0</v>
      </c>
    </row>
    <row r="69" spans="1:19" x14ac:dyDescent="0.25">
      <c r="A69" s="62">
        <v>64</v>
      </c>
      <c r="B69" s="89">
        <v>116</v>
      </c>
      <c r="C69" s="105" t="s">
        <v>201</v>
      </c>
      <c r="D69" s="89" t="s">
        <v>208</v>
      </c>
      <c r="E69" s="108" t="s">
        <v>302</v>
      </c>
      <c r="F69" s="110" t="s">
        <v>197</v>
      </c>
      <c r="G69" s="109">
        <v>17.73</v>
      </c>
      <c r="H69" s="87"/>
      <c r="I69" s="87"/>
      <c r="J69" s="89" t="s">
        <v>168</v>
      </c>
      <c r="K69" s="90" t="s">
        <v>219</v>
      </c>
      <c r="L69" s="87">
        <f>VLOOKUP(K69,Reinigungstage!$A$10:$H$31,8,FALSE)</f>
        <v>1</v>
      </c>
      <c r="M69" s="87">
        <f t="shared" si="7"/>
        <v>17.73</v>
      </c>
      <c r="N69" s="91">
        <f>VLOOKUP(J69,'Lei Grund OS Nossen'!$A$6:$B$14,2,0)</f>
        <v>0</v>
      </c>
      <c r="O69" s="92" t="str">
        <f ca="1">'SVS GrundRG'!$H$61</f>
        <v/>
      </c>
      <c r="P69" s="87">
        <f t="shared" si="8"/>
        <v>0</v>
      </c>
      <c r="Q69" s="87">
        <f t="shared" si="9"/>
        <v>0</v>
      </c>
      <c r="R69" s="87">
        <f t="shared" si="10"/>
        <v>0</v>
      </c>
      <c r="S69" s="87">
        <f t="shared" si="11"/>
        <v>0</v>
      </c>
    </row>
    <row r="70" spans="1:19" x14ac:dyDescent="0.25">
      <c r="A70" s="62">
        <v>65</v>
      </c>
      <c r="B70" s="89">
        <v>117</v>
      </c>
      <c r="C70" s="105" t="s">
        <v>201</v>
      </c>
      <c r="D70" s="89" t="s">
        <v>208</v>
      </c>
      <c r="E70" s="108" t="s">
        <v>303</v>
      </c>
      <c r="F70" s="110" t="s">
        <v>197</v>
      </c>
      <c r="G70" s="109">
        <v>50.54</v>
      </c>
      <c r="H70" s="87"/>
      <c r="I70" s="87"/>
      <c r="J70" s="89" t="s">
        <v>173</v>
      </c>
      <c r="K70" s="90" t="s">
        <v>219</v>
      </c>
      <c r="L70" s="87">
        <f>VLOOKUP(K70,Reinigungstage!$A$10:$H$31,8,FALSE)</f>
        <v>1</v>
      </c>
      <c r="M70" s="87">
        <f t="shared" si="7"/>
        <v>50.54</v>
      </c>
      <c r="N70" s="91">
        <f>VLOOKUP(J70,'Lei Grund OS Nossen'!$A$6:$B$14,2,0)</f>
        <v>0</v>
      </c>
      <c r="O70" s="92" t="str">
        <f ca="1">'SVS GrundRG'!$H$61</f>
        <v/>
      </c>
      <c r="P70" s="87">
        <f t="shared" si="8"/>
        <v>0</v>
      </c>
      <c r="Q70" s="87">
        <f t="shared" si="9"/>
        <v>0</v>
      </c>
      <c r="R70" s="87">
        <f t="shared" si="10"/>
        <v>0</v>
      </c>
      <c r="S70" s="87">
        <f t="shared" si="11"/>
        <v>0</v>
      </c>
    </row>
    <row r="71" spans="1:19" x14ac:dyDescent="0.25">
      <c r="A71" s="62">
        <v>66</v>
      </c>
      <c r="B71" s="89">
        <v>118</v>
      </c>
      <c r="C71" s="105" t="s">
        <v>201</v>
      </c>
      <c r="D71" s="89" t="s">
        <v>208</v>
      </c>
      <c r="E71" s="108" t="s">
        <v>304</v>
      </c>
      <c r="F71" s="110" t="s">
        <v>197</v>
      </c>
      <c r="G71" s="109">
        <v>50.54</v>
      </c>
      <c r="H71" s="87"/>
      <c r="I71" s="87"/>
      <c r="J71" s="89" t="s">
        <v>173</v>
      </c>
      <c r="K71" s="90" t="s">
        <v>219</v>
      </c>
      <c r="L71" s="87">
        <f>VLOOKUP(K71,Reinigungstage!$A$10:$H$31,8,FALSE)</f>
        <v>1</v>
      </c>
      <c r="M71" s="87">
        <f t="shared" si="7"/>
        <v>50.54</v>
      </c>
      <c r="N71" s="91">
        <f>VLOOKUP(J71,'Lei Grund OS Nossen'!$A$6:$B$14,2,0)</f>
        <v>0</v>
      </c>
      <c r="O71" s="92" t="str">
        <f ca="1">'SVS GrundRG'!$H$61</f>
        <v/>
      </c>
      <c r="P71" s="87">
        <f t="shared" si="8"/>
        <v>0</v>
      </c>
      <c r="Q71" s="87">
        <f t="shared" si="9"/>
        <v>0</v>
      </c>
      <c r="R71" s="87">
        <f t="shared" si="10"/>
        <v>0</v>
      </c>
      <c r="S71" s="87">
        <f t="shared" si="11"/>
        <v>0</v>
      </c>
    </row>
    <row r="72" spans="1:19" x14ac:dyDescent="0.25">
      <c r="A72" s="62">
        <v>67</v>
      </c>
      <c r="B72" s="89">
        <v>119</v>
      </c>
      <c r="C72" s="105" t="s">
        <v>201</v>
      </c>
      <c r="D72" s="89" t="s">
        <v>208</v>
      </c>
      <c r="E72" s="108" t="s">
        <v>305</v>
      </c>
      <c r="F72" s="110" t="s">
        <v>197</v>
      </c>
      <c r="G72" s="109">
        <v>50.54</v>
      </c>
      <c r="H72" s="87"/>
      <c r="I72" s="87"/>
      <c r="J72" s="89" t="s">
        <v>173</v>
      </c>
      <c r="K72" s="90" t="s">
        <v>219</v>
      </c>
      <c r="L72" s="87">
        <f>VLOOKUP(K72,Reinigungstage!$A$10:$H$31,8,FALSE)</f>
        <v>1</v>
      </c>
      <c r="M72" s="87">
        <f t="shared" si="7"/>
        <v>50.54</v>
      </c>
      <c r="N72" s="91">
        <f>VLOOKUP(J72,'Lei Grund OS Nossen'!$A$6:$B$14,2,0)</f>
        <v>0</v>
      </c>
      <c r="O72" s="92" t="str">
        <f ca="1">'SVS GrundRG'!$H$61</f>
        <v/>
      </c>
      <c r="P72" s="87">
        <f t="shared" si="8"/>
        <v>0</v>
      </c>
      <c r="Q72" s="87">
        <f t="shared" si="9"/>
        <v>0</v>
      </c>
      <c r="R72" s="87">
        <f t="shared" si="10"/>
        <v>0</v>
      </c>
      <c r="S72" s="87">
        <f t="shared" si="11"/>
        <v>0</v>
      </c>
    </row>
    <row r="73" spans="1:19" x14ac:dyDescent="0.25">
      <c r="A73" s="62">
        <v>68</v>
      </c>
      <c r="B73" s="89">
        <v>120</v>
      </c>
      <c r="C73" s="105" t="s">
        <v>201</v>
      </c>
      <c r="D73" s="89" t="s">
        <v>208</v>
      </c>
      <c r="E73" s="108" t="s">
        <v>306</v>
      </c>
      <c r="F73" s="110" t="s">
        <v>197</v>
      </c>
      <c r="G73" s="109">
        <v>17.73</v>
      </c>
      <c r="H73" s="87"/>
      <c r="I73" s="87"/>
      <c r="J73" s="89" t="s">
        <v>168</v>
      </c>
      <c r="K73" s="90" t="s">
        <v>219</v>
      </c>
      <c r="L73" s="87">
        <f>VLOOKUP(K73,Reinigungstage!$A$10:$H$31,8,FALSE)</f>
        <v>1</v>
      </c>
      <c r="M73" s="87">
        <f t="shared" si="7"/>
        <v>17.73</v>
      </c>
      <c r="N73" s="91">
        <f>VLOOKUP(J73,'Lei Grund OS Nossen'!$A$6:$B$14,2,0)</f>
        <v>0</v>
      </c>
      <c r="O73" s="92" t="str">
        <f ca="1">'SVS GrundRG'!$H$61</f>
        <v/>
      </c>
      <c r="P73" s="87">
        <f t="shared" si="8"/>
        <v>0</v>
      </c>
      <c r="Q73" s="87">
        <f t="shared" si="9"/>
        <v>0</v>
      </c>
      <c r="R73" s="87">
        <f t="shared" si="10"/>
        <v>0</v>
      </c>
      <c r="S73" s="87">
        <f t="shared" si="11"/>
        <v>0</v>
      </c>
    </row>
    <row r="74" spans="1:19" x14ac:dyDescent="0.25">
      <c r="A74" s="62">
        <v>69</v>
      </c>
      <c r="B74" s="89">
        <v>121</v>
      </c>
      <c r="C74" s="105" t="s">
        <v>201</v>
      </c>
      <c r="D74" s="89" t="s">
        <v>208</v>
      </c>
      <c r="E74" s="108" t="s">
        <v>237</v>
      </c>
      <c r="F74" s="110" t="s">
        <v>197</v>
      </c>
      <c r="G74" s="109">
        <v>36.630000000000003</v>
      </c>
      <c r="H74" s="87"/>
      <c r="I74" s="87"/>
      <c r="J74" s="89" t="s">
        <v>174</v>
      </c>
      <c r="K74" s="90" t="s">
        <v>219</v>
      </c>
      <c r="L74" s="87">
        <f>VLOOKUP(K74,Reinigungstage!$A$10:$H$31,8,FALSE)</f>
        <v>1</v>
      </c>
      <c r="M74" s="87">
        <f t="shared" si="7"/>
        <v>36.630000000000003</v>
      </c>
      <c r="N74" s="91">
        <f>VLOOKUP(J74,'Lei Grund OS Nossen'!$A$6:$B$14,2,0)</f>
        <v>0</v>
      </c>
      <c r="O74" s="92" t="str">
        <f ca="1">'SVS GrundRG'!$H$61</f>
        <v/>
      </c>
      <c r="P74" s="87">
        <f t="shared" si="8"/>
        <v>0</v>
      </c>
      <c r="Q74" s="87">
        <f t="shared" si="9"/>
        <v>0</v>
      </c>
      <c r="R74" s="87">
        <f t="shared" si="10"/>
        <v>0</v>
      </c>
      <c r="S74" s="87">
        <f t="shared" si="11"/>
        <v>0</v>
      </c>
    </row>
    <row r="75" spans="1:19" x14ac:dyDescent="0.25">
      <c r="A75" s="62">
        <v>70</v>
      </c>
      <c r="B75" s="89">
        <v>122</v>
      </c>
      <c r="C75" s="105" t="s">
        <v>201</v>
      </c>
      <c r="D75" s="89" t="s">
        <v>208</v>
      </c>
      <c r="E75" s="108" t="s">
        <v>305</v>
      </c>
      <c r="F75" s="110" t="s">
        <v>197</v>
      </c>
      <c r="G75" s="109">
        <v>50.54</v>
      </c>
      <c r="H75" s="87"/>
      <c r="I75" s="87"/>
      <c r="J75" s="89" t="s">
        <v>173</v>
      </c>
      <c r="K75" s="90" t="s">
        <v>219</v>
      </c>
      <c r="L75" s="87">
        <f>VLOOKUP(K75,Reinigungstage!$A$10:$H$31,8,FALSE)</f>
        <v>1</v>
      </c>
      <c r="M75" s="87">
        <f t="shared" si="7"/>
        <v>50.54</v>
      </c>
      <c r="N75" s="91">
        <f>VLOOKUP(J75,'Lei Grund OS Nossen'!$A$6:$B$14,2,0)</f>
        <v>0</v>
      </c>
      <c r="O75" s="92" t="str">
        <f ca="1">'SVS GrundRG'!$H$61</f>
        <v/>
      </c>
      <c r="P75" s="87">
        <f t="shared" si="8"/>
        <v>0</v>
      </c>
      <c r="Q75" s="87">
        <f t="shared" si="9"/>
        <v>0</v>
      </c>
      <c r="R75" s="87">
        <f t="shared" si="10"/>
        <v>0</v>
      </c>
      <c r="S75" s="87">
        <f t="shared" si="11"/>
        <v>0</v>
      </c>
    </row>
    <row r="76" spans="1:19" x14ac:dyDescent="0.25">
      <c r="A76" s="62">
        <v>71</v>
      </c>
      <c r="B76" s="89">
        <v>123</v>
      </c>
      <c r="C76" s="105" t="s">
        <v>201</v>
      </c>
      <c r="D76" s="89" t="s">
        <v>208</v>
      </c>
      <c r="E76" s="108" t="s">
        <v>307</v>
      </c>
      <c r="F76" s="110" t="s">
        <v>197</v>
      </c>
      <c r="G76" s="109">
        <v>50.54</v>
      </c>
      <c r="H76" s="87"/>
      <c r="I76" s="87"/>
      <c r="J76" s="89" t="s">
        <v>173</v>
      </c>
      <c r="K76" s="90" t="s">
        <v>219</v>
      </c>
      <c r="L76" s="87">
        <f>VLOOKUP(K76,Reinigungstage!$A$10:$H$31,8,FALSE)</f>
        <v>1</v>
      </c>
      <c r="M76" s="87">
        <f t="shared" si="7"/>
        <v>50.54</v>
      </c>
      <c r="N76" s="91">
        <f>VLOOKUP(J76,'Lei Grund OS Nossen'!$A$6:$B$14,2,0)</f>
        <v>0</v>
      </c>
      <c r="O76" s="92" t="str">
        <f ca="1">'SVS GrundRG'!$H$61</f>
        <v/>
      </c>
      <c r="P76" s="87">
        <f t="shared" si="8"/>
        <v>0</v>
      </c>
      <c r="Q76" s="87">
        <f t="shared" si="9"/>
        <v>0</v>
      </c>
      <c r="R76" s="87">
        <f t="shared" si="10"/>
        <v>0</v>
      </c>
      <c r="S76" s="87">
        <f t="shared" si="11"/>
        <v>0</v>
      </c>
    </row>
    <row r="77" spans="1:19" x14ac:dyDescent="0.25">
      <c r="A77" s="62">
        <v>72</v>
      </c>
      <c r="B77" s="89">
        <v>124</v>
      </c>
      <c r="C77" s="105" t="s">
        <v>201</v>
      </c>
      <c r="D77" s="89" t="s">
        <v>208</v>
      </c>
      <c r="E77" s="108" t="s">
        <v>308</v>
      </c>
      <c r="F77" s="110" t="s">
        <v>197</v>
      </c>
      <c r="G77" s="109">
        <v>17.73</v>
      </c>
      <c r="H77" s="87"/>
      <c r="I77" s="87"/>
      <c r="J77" s="89" t="s">
        <v>168</v>
      </c>
      <c r="K77" s="90" t="s">
        <v>219</v>
      </c>
      <c r="L77" s="87">
        <f>VLOOKUP(K77,Reinigungstage!$A$10:$H$31,8,FALSE)</f>
        <v>1</v>
      </c>
      <c r="M77" s="87">
        <f t="shared" si="7"/>
        <v>17.73</v>
      </c>
      <c r="N77" s="91">
        <f>VLOOKUP(J77,'Lei Grund OS Nossen'!$A$6:$B$14,2,0)</f>
        <v>0</v>
      </c>
      <c r="O77" s="92" t="str">
        <f ca="1">'SVS GrundRG'!$H$61</f>
        <v/>
      </c>
      <c r="P77" s="87">
        <f t="shared" si="8"/>
        <v>0</v>
      </c>
      <c r="Q77" s="87">
        <f t="shared" si="9"/>
        <v>0</v>
      </c>
      <c r="R77" s="87">
        <f t="shared" si="10"/>
        <v>0</v>
      </c>
      <c r="S77" s="87">
        <f t="shared" si="11"/>
        <v>0</v>
      </c>
    </row>
    <row r="78" spans="1:19" x14ac:dyDescent="0.25">
      <c r="A78" s="62">
        <v>73</v>
      </c>
      <c r="B78" s="89">
        <v>125</v>
      </c>
      <c r="C78" s="105" t="s">
        <v>201</v>
      </c>
      <c r="D78" s="89" t="s">
        <v>208</v>
      </c>
      <c r="E78" s="108" t="s">
        <v>237</v>
      </c>
      <c r="F78" s="110" t="s">
        <v>197</v>
      </c>
      <c r="G78" s="109">
        <v>36.94</v>
      </c>
      <c r="H78" s="87"/>
      <c r="I78" s="87"/>
      <c r="J78" s="89" t="s">
        <v>174</v>
      </c>
      <c r="K78" s="90" t="s">
        <v>219</v>
      </c>
      <c r="L78" s="87">
        <f>VLOOKUP(K78,Reinigungstage!$A$10:$H$31,8,FALSE)</f>
        <v>1</v>
      </c>
      <c r="M78" s="87">
        <f t="shared" si="7"/>
        <v>36.94</v>
      </c>
      <c r="N78" s="91">
        <f>VLOOKUP(J78,'Lei Grund OS Nossen'!$A$6:$B$14,2,0)</f>
        <v>0</v>
      </c>
      <c r="O78" s="92" t="str">
        <f ca="1">'SVS GrundRG'!$H$61</f>
        <v/>
      </c>
      <c r="P78" s="87">
        <f t="shared" si="8"/>
        <v>0</v>
      </c>
      <c r="Q78" s="87">
        <f t="shared" si="9"/>
        <v>0</v>
      </c>
      <c r="R78" s="87">
        <f t="shared" si="10"/>
        <v>0</v>
      </c>
      <c r="S78" s="87">
        <f t="shared" si="11"/>
        <v>0</v>
      </c>
    </row>
    <row r="79" spans="1:19" x14ac:dyDescent="0.25">
      <c r="A79" s="62">
        <v>74</v>
      </c>
      <c r="B79" s="89">
        <v>126</v>
      </c>
      <c r="C79" s="105" t="s">
        <v>201</v>
      </c>
      <c r="D79" s="89" t="s">
        <v>208</v>
      </c>
      <c r="E79" s="108" t="s">
        <v>307</v>
      </c>
      <c r="F79" s="110" t="s">
        <v>197</v>
      </c>
      <c r="G79" s="109">
        <v>50.54</v>
      </c>
      <c r="H79" s="87"/>
      <c r="I79" s="87"/>
      <c r="J79" s="89" t="s">
        <v>173</v>
      </c>
      <c r="K79" s="90" t="s">
        <v>219</v>
      </c>
      <c r="L79" s="87">
        <f>VLOOKUP(K79,Reinigungstage!$A$10:$H$31,8,FALSE)</f>
        <v>1</v>
      </c>
      <c r="M79" s="87">
        <f t="shared" si="7"/>
        <v>50.54</v>
      </c>
      <c r="N79" s="91">
        <f>VLOOKUP(J79,'Lei Grund OS Nossen'!$A$6:$B$14,2,0)</f>
        <v>0</v>
      </c>
      <c r="O79" s="92" t="str">
        <f ca="1">'SVS GrundRG'!$H$61</f>
        <v/>
      </c>
      <c r="P79" s="87">
        <f t="shared" si="8"/>
        <v>0</v>
      </c>
      <c r="Q79" s="87">
        <f t="shared" si="9"/>
        <v>0</v>
      </c>
      <c r="R79" s="87">
        <f t="shared" si="10"/>
        <v>0</v>
      </c>
      <c r="S79" s="87">
        <f t="shared" si="11"/>
        <v>0</v>
      </c>
    </row>
    <row r="80" spans="1:19" x14ac:dyDescent="0.25">
      <c r="A80" s="62">
        <v>75</v>
      </c>
      <c r="B80" s="89">
        <v>201</v>
      </c>
      <c r="C80" s="105" t="s">
        <v>202</v>
      </c>
      <c r="D80" s="89" t="s">
        <v>208</v>
      </c>
      <c r="E80" s="108" t="s">
        <v>309</v>
      </c>
      <c r="F80" s="110" t="s">
        <v>197</v>
      </c>
      <c r="G80" s="109">
        <v>76.349999999999994</v>
      </c>
      <c r="H80" s="87"/>
      <c r="I80" s="87"/>
      <c r="J80" s="89" t="s">
        <v>173</v>
      </c>
      <c r="K80" s="90" t="s">
        <v>219</v>
      </c>
      <c r="L80" s="87">
        <f>VLOOKUP(K80,Reinigungstage!$A$10:$H$31,8,FALSE)</f>
        <v>1</v>
      </c>
      <c r="M80" s="87">
        <f t="shared" si="7"/>
        <v>76.349999999999994</v>
      </c>
      <c r="N80" s="91">
        <f>VLOOKUP(J80,'Lei Grund OS Nossen'!$A$6:$B$14,2,0)</f>
        <v>0</v>
      </c>
      <c r="O80" s="92" t="str">
        <f ca="1">'SVS GrundRG'!$H$61</f>
        <v/>
      </c>
      <c r="P80" s="87">
        <f t="shared" si="8"/>
        <v>0</v>
      </c>
      <c r="Q80" s="87">
        <f t="shared" si="9"/>
        <v>0</v>
      </c>
      <c r="R80" s="87">
        <f t="shared" si="10"/>
        <v>0</v>
      </c>
      <c r="S80" s="87">
        <f t="shared" si="11"/>
        <v>0</v>
      </c>
    </row>
    <row r="81" spans="1:19" x14ac:dyDescent="0.25">
      <c r="A81" s="62">
        <v>76</v>
      </c>
      <c r="B81" s="89">
        <v>202</v>
      </c>
      <c r="C81" s="105" t="s">
        <v>202</v>
      </c>
      <c r="D81" s="89" t="s">
        <v>208</v>
      </c>
      <c r="E81" s="108" t="s">
        <v>310</v>
      </c>
      <c r="F81" s="110" t="s">
        <v>197</v>
      </c>
      <c r="G81" s="109">
        <v>33.65</v>
      </c>
      <c r="H81" s="87"/>
      <c r="I81" s="87"/>
      <c r="J81" s="89" t="s">
        <v>168</v>
      </c>
      <c r="K81" s="90" t="s">
        <v>219</v>
      </c>
      <c r="L81" s="87">
        <f>VLOOKUP(K81,Reinigungstage!$A$10:$H$31,8,FALSE)</f>
        <v>1</v>
      </c>
      <c r="M81" s="87">
        <f t="shared" si="7"/>
        <v>33.65</v>
      </c>
      <c r="N81" s="91">
        <f>VLOOKUP(J81,'Lei Grund OS Nossen'!$A$6:$B$14,2,0)</f>
        <v>0</v>
      </c>
      <c r="O81" s="92" t="str">
        <f ca="1">'SVS GrundRG'!$H$61</f>
        <v/>
      </c>
      <c r="P81" s="87">
        <f t="shared" si="8"/>
        <v>0</v>
      </c>
      <c r="Q81" s="87">
        <f t="shared" si="9"/>
        <v>0</v>
      </c>
      <c r="R81" s="87">
        <f t="shared" si="10"/>
        <v>0</v>
      </c>
      <c r="S81" s="87">
        <f t="shared" si="11"/>
        <v>0</v>
      </c>
    </row>
    <row r="82" spans="1:19" x14ac:dyDescent="0.25">
      <c r="A82" s="62">
        <v>77</v>
      </c>
      <c r="B82" s="89">
        <v>203</v>
      </c>
      <c r="C82" s="105" t="s">
        <v>202</v>
      </c>
      <c r="D82" s="89" t="s">
        <v>208</v>
      </c>
      <c r="E82" s="108" t="s">
        <v>238</v>
      </c>
      <c r="F82" s="110" t="s">
        <v>197</v>
      </c>
      <c r="G82" s="109">
        <v>44.21</v>
      </c>
      <c r="H82" s="87"/>
      <c r="I82" s="87"/>
      <c r="J82" s="89" t="s">
        <v>171</v>
      </c>
      <c r="K82" s="90" t="s">
        <v>219</v>
      </c>
      <c r="L82" s="87">
        <f>VLOOKUP(K82,Reinigungstage!$A$10:$H$31,8,FALSE)</f>
        <v>1</v>
      </c>
      <c r="M82" s="87">
        <f t="shared" si="7"/>
        <v>44.21</v>
      </c>
      <c r="N82" s="91">
        <f>VLOOKUP(J82,'Lei Grund OS Nossen'!$A$6:$B$14,2,0)</f>
        <v>0</v>
      </c>
      <c r="O82" s="92" t="str">
        <f ca="1">'SVS GrundRG'!$H$61</f>
        <v/>
      </c>
      <c r="P82" s="87">
        <f t="shared" si="8"/>
        <v>0</v>
      </c>
      <c r="Q82" s="87">
        <f t="shared" si="9"/>
        <v>0</v>
      </c>
      <c r="R82" s="87">
        <f t="shared" si="10"/>
        <v>0</v>
      </c>
      <c r="S82" s="87">
        <f t="shared" si="11"/>
        <v>0</v>
      </c>
    </row>
    <row r="83" spans="1:19" x14ac:dyDescent="0.25">
      <c r="A83" s="62">
        <v>78</v>
      </c>
      <c r="B83" s="89">
        <v>204</v>
      </c>
      <c r="C83" s="105" t="s">
        <v>202</v>
      </c>
      <c r="D83" s="89" t="s">
        <v>208</v>
      </c>
      <c r="E83" s="108" t="s">
        <v>311</v>
      </c>
      <c r="F83" s="110" t="s">
        <v>197</v>
      </c>
      <c r="G83" s="109">
        <v>46.32</v>
      </c>
      <c r="H83" s="87"/>
      <c r="I83" s="87"/>
      <c r="J83" s="89" t="s">
        <v>173</v>
      </c>
      <c r="K83" s="90" t="s">
        <v>219</v>
      </c>
      <c r="L83" s="87">
        <f>VLOOKUP(K83,Reinigungstage!$A$10:$H$31,8,FALSE)</f>
        <v>1</v>
      </c>
      <c r="M83" s="87">
        <f t="shared" si="7"/>
        <v>46.32</v>
      </c>
      <c r="N83" s="91">
        <f>VLOOKUP(J83,'Lei Grund OS Nossen'!$A$6:$B$14,2,0)</f>
        <v>0</v>
      </c>
      <c r="O83" s="92" t="str">
        <f ca="1">'SVS GrundRG'!$H$61</f>
        <v/>
      </c>
      <c r="P83" s="87">
        <f t="shared" si="8"/>
        <v>0</v>
      </c>
      <c r="Q83" s="87">
        <f t="shared" si="9"/>
        <v>0</v>
      </c>
      <c r="R83" s="87">
        <f t="shared" si="10"/>
        <v>0</v>
      </c>
      <c r="S83" s="87">
        <f t="shared" si="11"/>
        <v>0</v>
      </c>
    </row>
    <row r="84" spans="1:19" x14ac:dyDescent="0.25">
      <c r="A84" s="62">
        <v>79</v>
      </c>
      <c r="B84" s="89">
        <v>205</v>
      </c>
      <c r="C84" s="105" t="s">
        <v>202</v>
      </c>
      <c r="D84" s="89" t="s">
        <v>208</v>
      </c>
      <c r="E84" s="108" t="s">
        <v>323</v>
      </c>
      <c r="F84" s="110" t="s">
        <v>197</v>
      </c>
      <c r="G84" s="109">
        <v>16.62</v>
      </c>
      <c r="H84" s="87"/>
      <c r="I84" s="87"/>
      <c r="J84" s="89" t="s">
        <v>168</v>
      </c>
      <c r="K84" s="90" t="s">
        <v>219</v>
      </c>
      <c r="L84" s="87">
        <f>VLOOKUP(K84,Reinigungstage!$A$10:$H$31,8,FALSE)</f>
        <v>1</v>
      </c>
      <c r="M84" s="87">
        <f t="shared" si="7"/>
        <v>16.62</v>
      </c>
      <c r="N84" s="91">
        <f>VLOOKUP(J84,'Lei Grund OS Nossen'!$A$6:$B$14,2,0)</f>
        <v>0</v>
      </c>
      <c r="O84" s="92" t="str">
        <f ca="1">'SVS GrundRG'!$H$61</f>
        <v/>
      </c>
      <c r="P84" s="87">
        <f t="shared" si="8"/>
        <v>0</v>
      </c>
      <c r="Q84" s="87">
        <f t="shared" si="9"/>
        <v>0</v>
      </c>
      <c r="R84" s="87">
        <f t="shared" si="10"/>
        <v>0</v>
      </c>
      <c r="S84" s="87">
        <f t="shared" si="11"/>
        <v>0</v>
      </c>
    </row>
    <row r="85" spans="1:19" x14ac:dyDescent="0.25">
      <c r="A85" s="62">
        <v>80</v>
      </c>
      <c r="B85" s="89">
        <v>206</v>
      </c>
      <c r="C85" s="105" t="s">
        <v>202</v>
      </c>
      <c r="D85" s="89" t="s">
        <v>208</v>
      </c>
      <c r="E85" s="108" t="s">
        <v>312</v>
      </c>
      <c r="F85" s="110" t="s">
        <v>197</v>
      </c>
      <c r="G85" s="109">
        <v>16.61</v>
      </c>
      <c r="H85" s="87"/>
      <c r="I85" s="87"/>
      <c r="J85" s="89" t="s">
        <v>168</v>
      </c>
      <c r="K85" s="90" t="s">
        <v>219</v>
      </c>
      <c r="L85" s="87">
        <f>VLOOKUP(K85,Reinigungstage!$A$10:$H$31,8,FALSE)</f>
        <v>1</v>
      </c>
      <c r="M85" s="87">
        <f t="shared" si="7"/>
        <v>16.61</v>
      </c>
      <c r="N85" s="91">
        <f>VLOOKUP(J85,'Lei Grund OS Nossen'!$A$6:$B$14,2,0)</f>
        <v>0</v>
      </c>
      <c r="O85" s="92" t="str">
        <f ca="1">'SVS GrundRG'!$H$61</f>
        <v/>
      </c>
      <c r="P85" s="87">
        <f t="shared" si="8"/>
        <v>0</v>
      </c>
      <c r="Q85" s="87">
        <f t="shared" si="9"/>
        <v>0</v>
      </c>
      <c r="R85" s="87">
        <f t="shared" si="10"/>
        <v>0</v>
      </c>
      <c r="S85" s="87">
        <f t="shared" si="11"/>
        <v>0</v>
      </c>
    </row>
    <row r="86" spans="1:19" x14ac:dyDescent="0.25">
      <c r="A86" s="62">
        <v>81</v>
      </c>
      <c r="B86" s="89">
        <v>207</v>
      </c>
      <c r="C86" s="105" t="s">
        <v>202</v>
      </c>
      <c r="D86" s="89" t="s">
        <v>208</v>
      </c>
      <c r="E86" s="108" t="s">
        <v>298</v>
      </c>
      <c r="F86" s="110" t="s">
        <v>197</v>
      </c>
      <c r="G86" s="109">
        <v>74.27</v>
      </c>
      <c r="H86" s="87"/>
      <c r="I86" s="87"/>
      <c r="J86" s="89" t="s">
        <v>171</v>
      </c>
      <c r="K86" s="90" t="s">
        <v>219</v>
      </c>
      <c r="L86" s="87">
        <f>VLOOKUP(K86,Reinigungstage!$A$10:$H$31,8,FALSE)</f>
        <v>1</v>
      </c>
      <c r="M86" s="87">
        <f t="shared" si="7"/>
        <v>74.27</v>
      </c>
      <c r="N86" s="91">
        <f>VLOOKUP(J86,'Lei Grund OS Nossen'!$A$6:$B$14,2,0)</f>
        <v>0</v>
      </c>
      <c r="O86" s="92" t="str">
        <f ca="1">'SVS GrundRG'!$H$61</f>
        <v/>
      </c>
      <c r="P86" s="87">
        <f t="shared" si="8"/>
        <v>0</v>
      </c>
      <c r="Q86" s="87">
        <f t="shared" si="9"/>
        <v>0</v>
      </c>
      <c r="R86" s="87">
        <f t="shared" si="10"/>
        <v>0</v>
      </c>
      <c r="S86" s="87">
        <f t="shared" si="11"/>
        <v>0</v>
      </c>
    </row>
    <row r="87" spans="1:19" x14ac:dyDescent="0.25">
      <c r="A87" s="62">
        <v>82</v>
      </c>
      <c r="B87" s="89">
        <v>208</v>
      </c>
      <c r="C87" s="105" t="s">
        <v>202</v>
      </c>
      <c r="D87" s="89" t="s">
        <v>208</v>
      </c>
      <c r="E87" s="108" t="s">
        <v>228</v>
      </c>
      <c r="F87" s="110" t="s">
        <v>197</v>
      </c>
      <c r="G87" s="109">
        <v>33.72</v>
      </c>
      <c r="H87" s="87"/>
      <c r="I87" s="87"/>
      <c r="J87" s="89" t="s">
        <v>168</v>
      </c>
      <c r="K87" s="90" t="s">
        <v>219</v>
      </c>
      <c r="L87" s="87">
        <f>VLOOKUP(K87,Reinigungstage!$A$10:$H$31,8,FALSE)</f>
        <v>1</v>
      </c>
      <c r="M87" s="87">
        <f t="shared" si="7"/>
        <v>33.72</v>
      </c>
      <c r="N87" s="91">
        <f>VLOOKUP(J87,'Lei Grund OS Nossen'!$A$6:$B$14,2,0)</f>
        <v>0</v>
      </c>
      <c r="O87" s="92" t="str">
        <f ca="1">'SVS GrundRG'!$H$61</f>
        <v/>
      </c>
      <c r="P87" s="87">
        <f t="shared" si="8"/>
        <v>0</v>
      </c>
      <c r="Q87" s="87">
        <f t="shared" si="9"/>
        <v>0</v>
      </c>
      <c r="R87" s="87">
        <f t="shared" si="10"/>
        <v>0</v>
      </c>
      <c r="S87" s="87">
        <f t="shared" si="11"/>
        <v>0</v>
      </c>
    </row>
    <row r="88" spans="1:19" x14ac:dyDescent="0.25">
      <c r="A88" s="62">
        <v>83</v>
      </c>
      <c r="B88" s="89">
        <v>209</v>
      </c>
      <c r="C88" s="105" t="s">
        <v>202</v>
      </c>
      <c r="D88" s="89" t="s">
        <v>208</v>
      </c>
      <c r="E88" s="108" t="s">
        <v>237</v>
      </c>
      <c r="F88" s="110" t="s">
        <v>197</v>
      </c>
      <c r="G88" s="109">
        <v>32.18</v>
      </c>
      <c r="H88" s="87"/>
      <c r="I88" s="87"/>
      <c r="J88" s="89" t="s">
        <v>174</v>
      </c>
      <c r="K88" s="90" t="s">
        <v>219</v>
      </c>
      <c r="L88" s="87">
        <f>VLOOKUP(K88,Reinigungstage!$A$10:$H$31,8,FALSE)</f>
        <v>1</v>
      </c>
      <c r="M88" s="87">
        <f t="shared" si="7"/>
        <v>32.18</v>
      </c>
      <c r="N88" s="91">
        <f>VLOOKUP(J88,'Lei Grund OS Nossen'!$A$6:$B$14,2,0)</f>
        <v>0</v>
      </c>
      <c r="O88" s="92" t="str">
        <f ca="1">'SVS GrundRG'!$H$61</f>
        <v/>
      </c>
      <c r="P88" s="87">
        <f t="shared" si="8"/>
        <v>0</v>
      </c>
      <c r="Q88" s="87">
        <f t="shared" si="9"/>
        <v>0</v>
      </c>
      <c r="R88" s="87">
        <f t="shared" si="10"/>
        <v>0</v>
      </c>
      <c r="S88" s="87">
        <f t="shared" si="11"/>
        <v>0</v>
      </c>
    </row>
    <row r="89" spans="1:19" x14ac:dyDescent="0.25">
      <c r="A89" s="62">
        <v>84</v>
      </c>
      <c r="B89" s="89">
        <v>210</v>
      </c>
      <c r="C89" s="105" t="s">
        <v>202</v>
      </c>
      <c r="D89" s="89" t="s">
        <v>208</v>
      </c>
      <c r="E89" s="108" t="s">
        <v>313</v>
      </c>
      <c r="F89" s="110" t="s">
        <v>197</v>
      </c>
      <c r="G89" s="109">
        <v>16.5</v>
      </c>
      <c r="H89" s="87"/>
      <c r="I89" s="87"/>
      <c r="J89" s="89" t="s">
        <v>168</v>
      </c>
      <c r="K89" s="90" t="s">
        <v>219</v>
      </c>
      <c r="L89" s="87">
        <f>VLOOKUP(K89,Reinigungstage!$A$10:$H$31,8,FALSE)</f>
        <v>1</v>
      </c>
      <c r="M89" s="87">
        <f t="shared" si="7"/>
        <v>16.5</v>
      </c>
      <c r="N89" s="91">
        <f>VLOOKUP(J89,'Lei Grund OS Nossen'!$A$6:$B$14,2,0)</f>
        <v>0</v>
      </c>
      <c r="O89" s="92" t="str">
        <f ca="1">'SVS GrundRG'!$H$61</f>
        <v/>
      </c>
      <c r="P89" s="87">
        <f t="shared" si="8"/>
        <v>0</v>
      </c>
      <c r="Q89" s="87">
        <f t="shared" si="9"/>
        <v>0</v>
      </c>
      <c r="R89" s="87">
        <f t="shared" si="10"/>
        <v>0</v>
      </c>
      <c r="S89" s="87">
        <f t="shared" si="11"/>
        <v>0</v>
      </c>
    </row>
    <row r="90" spans="1:19" x14ac:dyDescent="0.25">
      <c r="A90" s="62">
        <v>85</v>
      </c>
      <c r="B90" s="89">
        <v>211</v>
      </c>
      <c r="C90" s="105" t="s">
        <v>202</v>
      </c>
      <c r="D90" s="89" t="s">
        <v>208</v>
      </c>
      <c r="E90" s="108" t="s">
        <v>314</v>
      </c>
      <c r="F90" s="110" t="s">
        <v>197</v>
      </c>
      <c r="G90" s="109">
        <v>16.62</v>
      </c>
      <c r="H90" s="87"/>
      <c r="I90" s="87"/>
      <c r="J90" s="89" t="s">
        <v>173</v>
      </c>
      <c r="K90" s="90" t="s">
        <v>219</v>
      </c>
      <c r="L90" s="87">
        <f>VLOOKUP(K90,Reinigungstage!$A$10:$H$31,8,FALSE)</f>
        <v>1</v>
      </c>
      <c r="M90" s="87">
        <f t="shared" si="7"/>
        <v>16.62</v>
      </c>
      <c r="N90" s="91">
        <f>VLOOKUP(J90,'Lei Grund OS Nossen'!$A$6:$B$14,2,0)</f>
        <v>0</v>
      </c>
      <c r="O90" s="92" t="str">
        <f ca="1">'SVS GrundRG'!$H$61</f>
        <v/>
      </c>
      <c r="P90" s="87">
        <f t="shared" si="8"/>
        <v>0</v>
      </c>
      <c r="Q90" s="87">
        <f t="shared" si="9"/>
        <v>0</v>
      </c>
      <c r="R90" s="87">
        <f t="shared" si="10"/>
        <v>0</v>
      </c>
      <c r="S90" s="87">
        <f t="shared" si="11"/>
        <v>0</v>
      </c>
    </row>
    <row r="91" spans="1:19" x14ac:dyDescent="0.25">
      <c r="A91" s="62">
        <v>86</v>
      </c>
      <c r="B91" s="89">
        <v>212</v>
      </c>
      <c r="C91" s="105" t="s">
        <v>202</v>
      </c>
      <c r="D91" s="89" t="s">
        <v>208</v>
      </c>
      <c r="E91" s="108" t="s">
        <v>315</v>
      </c>
      <c r="F91" s="110" t="s">
        <v>197</v>
      </c>
      <c r="G91" s="109">
        <v>16.399999999999999</v>
      </c>
      <c r="H91" s="87"/>
      <c r="I91" s="87"/>
      <c r="J91" s="89" t="s">
        <v>168</v>
      </c>
      <c r="K91" s="90" t="s">
        <v>219</v>
      </c>
      <c r="L91" s="87">
        <f>VLOOKUP(K91,Reinigungstage!$A$10:$H$31,8,FALSE)</f>
        <v>1</v>
      </c>
      <c r="M91" s="87">
        <f t="shared" si="7"/>
        <v>16.399999999999999</v>
      </c>
      <c r="N91" s="91">
        <f>VLOOKUP(J91,'Lei Grund OS Nossen'!$A$6:$B$14,2,0)</f>
        <v>0</v>
      </c>
      <c r="O91" s="92" t="str">
        <f ca="1">'SVS GrundRG'!$H$61</f>
        <v/>
      </c>
      <c r="P91" s="87">
        <f t="shared" si="8"/>
        <v>0</v>
      </c>
      <c r="Q91" s="87">
        <f t="shared" si="9"/>
        <v>0</v>
      </c>
      <c r="R91" s="87">
        <f t="shared" si="10"/>
        <v>0</v>
      </c>
      <c r="S91" s="87">
        <f t="shared" si="11"/>
        <v>0</v>
      </c>
    </row>
    <row r="92" spans="1:19" x14ac:dyDescent="0.25">
      <c r="A92" s="62">
        <v>87</v>
      </c>
      <c r="B92" s="89">
        <v>213</v>
      </c>
      <c r="C92" s="105" t="s">
        <v>202</v>
      </c>
      <c r="D92" s="89" t="s">
        <v>208</v>
      </c>
      <c r="E92" s="108" t="s">
        <v>288</v>
      </c>
      <c r="F92" s="110" t="s">
        <v>197</v>
      </c>
      <c r="G92" s="109">
        <v>43.35</v>
      </c>
      <c r="H92" s="87"/>
      <c r="I92" s="87"/>
      <c r="J92" s="89" t="s">
        <v>171</v>
      </c>
      <c r="K92" s="90" t="s">
        <v>219</v>
      </c>
      <c r="L92" s="87">
        <f>VLOOKUP(K92,Reinigungstage!$A$10:$H$31,8,FALSE)</f>
        <v>1</v>
      </c>
      <c r="M92" s="87">
        <f t="shared" si="7"/>
        <v>43.35</v>
      </c>
      <c r="N92" s="91">
        <f>VLOOKUP(J92,'Lei Grund OS Nossen'!$A$6:$B$14,2,0)</f>
        <v>0</v>
      </c>
      <c r="O92" s="92" t="str">
        <f ca="1">'SVS GrundRG'!$H$61</f>
        <v/>
      </c>
      <c r="P92" s="87">
        <f t="shared" si="8"/>
        <v>0</v>
      </c>
      <c r="Q92" s="87">
        <f t="shared" si="9"/>
        <v>0</v>
      </c>
      <c r="R92" s="87">
        <f t="shared" si="10"/>
        <v>0</v>
      </c>
      <c r="S92" s="87">
        <f t="shared" si="11"/>
        <v>0</v>
      </c>
    </row>
    <row r="93" spans="1:19" x14ac:dyDescent="0.25">
      <c r="A93" s="62">
        <v>88</v>
      </c>
      <c r="B93" s="89">
        <v>214</v>
      </c>
      <c r="C93" s="105" t="s">
        <v>202</v>
      </c>
      <c r="D93" s="89" t="s">
        <v>208</v>
      </c>
      <c r="E93" s="108" t="s">
        <v>325</v>
      </c>
      <c r="F93" s="110" t="s">
        <v>197</v>
      </c>
      <c r="G93" s="109">
        <v>76.459999999999994</v>
      </c>
      <c r="H93" s="87"/>
      <c r="I93" s="87"/>
      <c r="J93" s="89" t="s">
        <v>168</v>
      </c>
      <c r="K93" s="90" t="s">
        <v>219</v>
      </c>
      <c r="L93" s="87">
        <f>VLOOKUP(K93,Reinigungstage!$A$10:$H$31,8,FALSE)</f>
        <v>1</v>
      </c>
      <c r="M93" s="87">
        <f t="shared" si="7"/>
        <v>76.459999999999994</v>
      </c>
      <c r="N93" s="91">
        <f>VLOOKUP(J93,'Lei Grund OS Nossen'!$A$6:$B$14,2,0)</f>
        <v>0</v>
      </c>
      <c r="O93" s="92" t="str">
        <f ca="1">'SVS GrundRG'!$H$61</f>
        <v/>
      </c>
      <c r="P93" s="87">
        <f t="shared" si="8"/>
        <v>0</v>
      </c>
      <c r="Q93" s="87">
        <f t="shared" si="9"/>
        <v>0</v>
      </c>
      <c r="R93" s="87">
        <f t="shared" si="10"/>
        <v>0</v>
      </c>
      <c r="S93" s="87">
        <f t="shared" si="11"/>
        <v>0</v>
      </c>
    </row>
    <row r="94" spans="1:19" x14ac:dyDescent="0.25">
      <c r="A94" s="62">
        <v>89</v>
      </c>
      <c r="B94" s="89">
        <v>215</v>
      </c>
      <c r="C94" s="105" t="s">
        <v>202</v>
      </c>
      <c r="D94" s="89" t="s">
        <v>208</v>
      </c>
      <c r="E94" s="108" t="s">
        <v>237</v>
      </c>
      <c r="F94" s="110" t="s">
        <v>197</v>
      </c>
      <c r="G94" s="109">
        <v>37.31</v>
      </c>
      <c r="H94" s="87"/>
      <c r="I94" s="87"/>
      <c r="J94" s="89" t="s">
        <v>174</v>
      </c>
      <c r="K94" s="90" t="s">
        <v>219</v>
      </c>
      <c r="L94" s="87">
        <f>VLOOKUP(K94,Reinigungstage!$A$10:$H$31,8,FALSE)</f>
        <v>1</v>
      </c>
      <c r="M94" s="87">
        <f t="shared" si="7"/>
        <v>37.31</v>
      </c>
      <c r="N94" s="91">
        <f>VLOOKUP(J94,'Lei Grund OS Nossen'!$A$6:$B$14,2,0)</f>
        <v>0</v>
      </c>
      <c r="O94" s="92" t="str">
        <f ca="1">'SVS GrundRG'!$H$61</f>
        <v/>
      </c>
      <c r="P94" s="87">
        <f t="shared" si="8"/>
        <v>0</v>
      </c>
      <c r="Q94" s="87">
        <f t="shared" si="9"/>
        <v>0</v>
      </c>
      <c r="R94" s="87">
        <f t="shared" si="10"/>
        <v>0</v>
      </c>
      <c r="S94" s="87">
        <f t="shared" si="11"/>
        <v>0</v>
      </c>
    </row>
    <row r="95" spans="1:19" x14ac:dyDescent="0.25">
      <c r="A95" s="62">
        <v>90</v>
      </c>
      <c r="B95" s="89">
        <v>216</v>
      </c>
      <c r="C95" s="105" t="s">
        <v>202</v>
      </c>
      <c r="D95" s="89" t="s">
        <v>208</v>
      </c>
      <c r="E95" s="108" t="s">
        <v>316</v>
      </c>
      <c r="F95" s="110" t="s">
        <v>197</v>
      </c>
      <c r="G95" s="109">
        <v>17.73</v>
      </c>
      <c r="H95" s="87"/>
      <c r="I95" s="87"/>
      <c r="J95" s="89" t="s">
        <v>168</v>
      </c>
      <c r="K95" s="90" t="s">
        <v>219</v>
      </c>
      <c r="L95" s="87">
        <f>VLOOKUP(K95,Reinigungstage!$A$10:$H$31,8,FALSE)</f>
        <v>1</v>
      </c>
      <c r="M95" s="87">
        <f t="shared" si="7"/>
        <v>17.73</v>
      </c>
      <c r="N95" s="91">
        <f>VLOOKUP(J95,'Lei Grund OS Nossen'!$A$6:$B$14,2,0)</f>
        <v>0</v>
      </c>
      <c r="O95" s="92" t="str">
        <f ca="1">'SVS GrundRG'!$H$61</f>
        <v/>
      </c>
      <c r="P95" s="87">
        <f t="shared" si="8"/>
        <v>0</v>
      </c>
      <c r="Q95" s="87">
        <f t="shared" si="9"/>
        <v>0</v>
      </c>
      <c r="R95" s="87">
        <f t="shared" si="10"/>
        <v>0</v>
      </c>
      <c r="S95" s="87">
        <f t="shared" si="11"/>
        <v>0</v>
      </c>
    </row>
    <row r="96" spans="1:19" x14ac:dyDescent="0.25">
      <c r="A96" s="62">
        <v>91</v>
      </c>
      <c r="B96" s="89">
        <v>217</v>
      </c>
      <c r="C96" s="105" t="s">
        <v>202</v>
      </c>
      <c r="D96" s="89" t="s">
        <v>208</v>
      </c>
      <c r="E96" s="108" t="s">
        <v>317</v>
      </c>
      <c r="F96" s="110" t="s">
        <v>197</v>
      </c>
      <c r="G96" s="109">
        <v>50.54</v>
      </c>
      <c r="H96" s="87"/>
      <c r="I96" s="87"/>
      <c r="J96" s="89" t="s">
        <v>173</v>
      </c>
      <c r="K96" s="90" t="s">
        <v>219</v>
      </c>
      <c r="L96" s="87">
        <f>VLOOKUP(K96,Reinigungstage!$A$10:$H$31,8,FALSE)</f>
        <v>1</v>
      </c>
      <c r="M96" s="87">
        <f t="shared" si="7"/>
        <v>50.54</v>
      </c>
      <c r="N96" s="91">
        <f>VLOOKUP(J96,'Lei Grund OS Nossen'!$A$6:$B$14,2,0)</f>
        <v>0</v>
      </c>
      <c r="O96" s="92" t="str">
        <f ca="1">'SVS GrundRG'!$H$61</f>
        <v/>
      </c>
      <c r="P96" s="87">
        <f t="shared" si="8"/>
        <v>0</v>
      </c>
      <c r="Q96" s="87">
        <f t="shared" si="9"/>
        <v>0</v>
      </c>
      <c r="R96" s="87">
        <f t="shared" si="10"/>
        <v>0</v>
      </c>
      <c r="S96" s="87">
        <f t="shared" si="11"/>
        <v>0</v>
      </c>
    </row>
    <row r="97" spans="1:19" x14ac:dyDescent="0.25">
      <c r="A97" s="62">
        <v>92</v>
      </c>
      <c r="B97" s="89">
        <v>218</v>
      </c>
      <c r="C97" s="105" t="s">
        <v>202</v>
      </c>
      <c r="D97" s="89" t="s">
        <v>208</v>
      </c>
      <c r="E97" s="108" t="s">
        <v>317</v>
      </c>
      <c r="F97" s="110" t="s">
        <v>197</v>
      </c>
      <c r="G97" s="109">
        <v>50.54</v>
      </c>
      <c r="H97" s="87"/>
      <c r="I97" s="87"/>
      <c r="J97" s="89" t="s">
        <v>173</v>
      </c>
      <c r="K97" s="90" t="s">
        <v>219</v>
      </c>
      <c r="L97" s="87">
        <f>VLOOKUP(K97,Reinigungstage!$A$10:$H$31,8,FALSE)</f>
        <v>1</v>
      </c>
      <c r="M97" s="87">
        <f t="shared" si="7"/>
        <v>50.54</v>
      </c>
      <c r="N97" s="91">
        <f>VLOOKUP(J97,'Lei Grund OS Nossen'!$A$6:$B$14,2,0)</f>
        <v>0</v>
      </c>
      <c r="O97" s="92" t="str">
        <f ca="1">'SVS GrundRG'!$H$61</f>
        <v/>
      </c>
      <c r="P97" s="87">
        <f t="shared" si="8"/>
        <v>0</v>
      </c>
      <c r="Q97" s="87">
        <f t="shared" si="9"/>
        <v>0</v>
      </c>
      <c r="R97" s="87">
        <f t="shared" si="10"/>
        <v>0</v>
      </c>
      <c r="S97" s="87">
        <f t="shared" si="11"/>
        <v>0</v>
      </c>
    </row>
    <row r="98" spans="1:19" x14ac:dyDescent="0.25">
      <c r="A98" s="62">
        <v>93</v>
      </c>
      <c r="B98" s="89">
        <v>219</v>
      </c>
      <c r="C98" s="105" t="s">
        <v>202</v>
      </c>
      <c r="D98" s="89" t="s">
        <v>208</v>
      </c>
      <c r="E98" s="108" t="s">
        <v>318</v>
      </c>
      <c r="F98" s="110" t="s">
        <v>197</v>
      </c>
      <c r="G98" s="109">
        <v>50.54</v>
      </c>
      <c r="H98" s="87"/>
      <c r="I98" s="87"/>
      <c r="J98" s="89" t="s">
        <v>173</v>
      </c>
      <c r="K98" s="90" t="s">
        <v>219</v>
      </c>
      <c r="L98" s="87">
        <f>VLOOKUP(K98,Reinigungstage!$A$10:$H$31,8,FALSE)</f>
        <v>1</v>
      </c>
      <c r="M98" s="87">
        <f t="shared" si="7"/>
        <v>50.54</v>
      </c>
      <c r="N98" s="91">
        <f>VLOOKUP(J98,'Lei Grund OS Nossen'!$A$6:$B$14,2,0)</f>
        <v>0</v>
      </c>
      <c r="O98" s="92" t="str">
        <f ca="1">'SVS GrundRG'!$H$61</f>
        <v/>
      </c>
      <c r="P98" s="87">
        <f t="shared" si="8"/>
        <v>0</v>
      </c>
      <c r="Q98" s="87">
        <f t="shared" si="9"/>
        <v>0</v>
      </c>
      <c r="R98" s="87">
        <f t="shared" si="10"/>
        <v>0</v>
      </c>
      <c r="S98" s="87">
        <f t="shared" si="11"/>
        <v>0</v>
      </c>
    </row>
    <row r="99" spans="1:19" x14ac:dyDescent="0.25">
      <c r="A99" s="62">
        <v>94</v>
      </c>
      <c r="B99" s="89">
        <v>220</v>
      </c>
      <c r="C99" s="105" t="s">
        <v>202</v>
      </c>
      <c r="D99" s="89" t="s">
        <v>208</v>
      </c>
      <c r="E99" s="108" t="s">
        <v>319</v>
      </c>
      <c r="F99" s="110" t="s">
        <v>197</v>
      </c>
      <c r="G99" s="109">
        <v>17.73</v>
      </c>
      <c r="H99" s="87"/>
      <c r="I99" s="87"/>
      <c r="J99" s="89" t="s">
        <v>168</v>
      </c>
      <c r="K99" s="90" t="s">
        <v>219</v>
      </c>
      <c r="L99" s="87">
        <f>VLOOKUP(K99,Reinigungstage!$A$10:$H$31,8,FALSE)</f>
        <v>1</v>
      </c>
      <c r="M99" s="87">
        <f t="shared" si="7"/>
        <v>17.73</v>
      </c>
      <c r="N99" s="91">
        <f>VLOOKUP(J99,'Lei Grund OS Nossen'!$A$6:$B$14,2,0)</f>
        <v>0</v>
      </c>
      <c r="O99" s="92" t="str">
        <f ca="1">'SVS GrundRG'!$H$61</f>
        <v/>
      </c>
      <c r="P99" s="87">
        <f t="shared" si="8"/>
        <v>0</v>
      </c>
      <c r="Q99" s="87">
        <f t="shared" si="9"/>
        <v>0</v>
      </c>
      <c r="R99" s="87">
        <f t="shared" si="10"/>
        <v>0</v>
      </c>
      <c r="S99" s="87">
        <f t="shared" si="11"/>
        <v>0</v>
      </c>
    </row>
    <row r="100" spans="1:19" x14ac:dyDescent="0.25">
      <c r="A100" s="62">
        <v>95</v>
      </c>
      <c r="B100" s="89">
        <v>221</v>
      </c>
      <c r="C100" s="105" t="s">
        <v>202</v>
      </c>
      <c r="D100" s="89" t="s">
        <v>208</v>
      </c>
      <c r="E100" s="108" t="s">
        <v>237</v>
      </c>
      <c r="F100" s="110" t="s">
        <v>197</v>
      </c>
      <c r="G100" s="109">
        <v>36.630000000000003</v>
      </c>
      <c r="H100" s="87"/>
      <c r="I100" s="87"/>
      <c r="J100" s="89" t="s">
        <v>174</v>
      </c>
      <c r="K100" s="90" t="s">
        <v>219</v>
      </c>
      <c r="L100" s="87">
        <f>VLOOKUP(K100,Reinigungstage!$A$10:$H$31,8,FALSE)</f>
        <v>1</v>
      </c>
      <c r="M100" s="87">
        <f t="shared" si="7"/>
        <v>36.630000000000003</v>
      </c>
      <c r="N100" s="91">
        <f>VLOOKUP(J100,'Lei Grund OS Nossen'!$A$6:$B$14,2,0)</f>
        <v>0</v>
      </c>
      <c r="O100" s="92" t="str">
        <f ca="1">'SVS GrundRG'!$H$61</f>
        <v/>
      </c>
      <c r="P100" s="87">
        <f t="shared" si="8"/>
        <v>0</v>
      </c>
      <c r="Q100" s="87">
        <f t="shared" si="9"/>
        <v>0</v>
      </c>
      <c r="R100" s="87">
        <f t="shared" si="10"/>
        <v>0</v>
      </c>
      <c r="S100" s="87">
        <f t="shared" si="11"/>
        <v>0</v>
      </c>
    </row>
    <row r="101" spans="1:19" x14ac:dyDescent="0.25">
      <c r="A101" s="62">
        <v>96</v>
      </c>
      <c r="B101" s="89">
        <v>222</v>
      </c>
      <c r="C101" s="105" t="s">
        <v>202</v>
      </c>
      <c r="D101" s="89" t="s">
        <v>208</v>
      </c>
      <c r="E101" s="108" t="s">
        <v>318</v>
      </c>
      <c r="F101" s="110" t="s">
        <v>197</v>
      </c>
      <c r="G101" s="109">
        <v>50.54</v>
      </c>
      <c r="H101" s="87"/>
      <c r="I101" s="87"/>
      <c r="J101" s="89" t="s">
        <v>173</v>
      </c>
      <c r="K101" s="90" t="s">
        <v>219</v>
      </c>
      <c r="L101" s="87">
        <f>VLOOKUP(K101,Reinigungstage!$A$10:$H$31,8,FALSE)</f>
        <v>1</v>
      </c>
      <c r="M101" s="87">
        <f t="shared" si="7"/>
        <v>50.54</v>
      </c>
      <c r="N101" s="91">
        <f>VLOOKUP(J101,'Lei Grund OS Nossen'!$A$6:$B$14,2,0)</f>
        <v>0</v>
      </c>
      <c r="O101" s="92" t="str">
        <f ca="1">'SVS GrundRG'!$H$61</f>
        <v/>
      </c>
      <c r="P101" s="87">
        <f t="shared" si="8"/>
        <v>0</v>
      </c>
      <c r="Q101" s="87">
        <f t="shared" si="9"/>
        <v>0</v>
      </c>
      <c r="R101" s="87">
        <f t="shared" si="10"/>
        <v>0</v>
      </c>
      <c r="S101" s="87">
        <f t="shared" si="11"/>
        <v>0</v>
      </c>
    </row>
    <row r="102" spans="1:19" x14ac:dyDescent="0.25">
      <c r="A102" s="62">
        <v>97</v>
      </c>
      <c r="B102" s="89">
        <v>223</v>
      </c>
      <c r="C102" s="105" t="s">
        <v>202</v>
      </c>
      <c r="D102" s="89" t="s">
        <v>208</v>
      </c>
      <c r="E102" s="108" t="s">
        <v>320</v>
      </c>
      <c r="F102" s="110" t="s">
        <v>197</v>
      </c>
      <c r="G102" s="109">
        <v>50.54</v>
      </c>
      <c r="H102" s="87"/>
      <c r="I102" s="87"/>
      <c r="J102" s="89" t="s">
        <v>173</v>
      </c>
      <c r="K102" s="90" t="s">
        <v>219</v>
      </c>
      <c r="L102" s="87">
        <f>VLOOKUP(K102,Reinigungstage!$A$10:$H$31,8,FALSE)</f>
        <v>1</v>
      </c>
      <c r="M102" s="87">
        <f t="shared" si="7"/>
        <v>50.54</v>
      </c>
      <c r="N102" s="91">
        <f>VLOOKUP(J102,'Lei Grund OS Nossen'!$A$6:$B$14,2,0)</f>
        <v>0</v>
      </c>
      <c r="O102" s="92" t="str">
        <f ca="1">'SVS GrundRG'!$H$61</f>
        <v/>
      </c>
      <c r="P102" s="87">
        <f t="shared" si="8"/>
        <v>0</v>
      </c>
      <c r="Q102" s="87">
        <f t="shared" si="9"/>
        <v>0</v>
      </c>
      <c r="R102" s="87">
        <f t="shared" si="10"/>
        <v>0</v>
      </c>
      <c r="S102" s="87">
        <f t="shared" si="11"/>
        <v>0</v>
      </c>
    </row>
    <row r="103" spans="1:19" x14ac:dyDescent="0.25">
      <c r="A103" s="62">
        <v>98</v>
      </c>
      <c r="B103" s="89">
        <v>224</v>
      </c>
      <c r="C103" s="105" t="s">
        <v>202</v>
      </c>
      <c r="D103" s="89" t="s">
        <v>208</v>
      </c>
      <c r="E103" s="108" t="s">
        <v>321</v>
      </c>
      <c r="F103" s="110" t="s">
        <v>197</v>
      </c>
      <c r="G103" s="109">
        <v>17.73</v>
      </c>
      <c r="H103" s="87"/>
      <c r="I103" s="87"/>
      <c r="J103" s="89" t="s">
        <v>168</v>
      </c>
      <c r="K103" s="90" t="s">
        <v>219</v>
      </c>
      <c r="L103" s="87">
        <f>VLOOKUP(K103,Reinigungstage!$A$10:$H$31,8,FALSE)</f>
        <v>1</v>
      </c>
      <c r="M103" s="87">
        <f t="shared" si="7"/>
        <v>17.73</v>
      </c>
      <c r="N103" s="91">
        <f>VLOOKUP(J103,'Lei Grund OS Nossen'!$A$6:$B$14,2,0)</f>
        <v>0</v>
      </c>
      <c r="O103" s="92" t="str">
        <f ca="1">'SVS GrundRG'!$H$61</f>
        <v/>
      </c>
      <c r="P103" s="87">
        <f t="shared" si="8"/>
        <v>0</v>
      </c>
      <c r="Q103" s="87">
        <f t="shared" si="9"/>
        <v>0</v>
      </c>
      <c r="R103" s="87">
        <f t="shared" si="10"/>
        <v>0</v>
      </c>
      <c r="S103" s="87">
        <f t="shared" si="11"/>
        <v>0</v>
      </c>
    </row>
    <row r="104" spans="1:19" x14ac:dyDescent="0.25">
      <c r="A104" s="62">
        <v>99</v>
      </c>
      <c r="B104" s="89">
        <v>225</v>
      </c>
      <c r="C104" s="105" t="s">
        <v>202</v>
      </c>
      <c r="D104" s="89" t="s">
        <v>208</v>
      </c>
      <c r="E104" s="108" t="s">
        <v>237</v>
      </c>
      <c r="F104" s="110" t="s">
        <v>197</v>
      </c>
      <c r="G104" s="109">
        <v>36.94</v>
      </c>
      <c r="H104" s="87"/>
      <c r="I104" s="87"/>
      <c r="J104" s="89" t="s">
        <v>174</v>
      </c>
      <c r="K104" s="90" t="s">
        <v>219</v>
      </c>
      <c r="L104" s="87">
        <f>VLOOKUP(K104,Reinigungstage!$A$10:$H$31,8,FALSE)</f>
        <v>1</v>
      </c>
      <c r="M104" s="87">
        <f t="shared" si="7"/>
        <v>36.94</v>
      </c>
      <c r="N104" s="91">
        <f>VLOOKUP(J104,'Lei Grund OS Nossen'!$A$6:$B$14,2,0)</f>
        <v>0</v>
      </c>
      <c r="O104" s="92" t="str">
        <f ca="1">'SVS GrundRG'!$H$61</f>
        <v/>
      </c>
      <c r="P104" s="87">
        <f t="shared" si="8"/>
        <v>0</v>
      </c>
      <c r="Q104" s="87">
        <f t="shared" si="9"/>
        <v>0</v>
      </c>
      <c r="R104" s="87">
        <f t="shared" si="10"/>
        <v>0</v>
      </c>
      <c r="S104" s="87">
        <f t="shared" si="11"/>
        <v>0</v>
      </c>
    </row>
    <row r="105" spans="1:19" x14ac:dyDescent="0.25">
      <c r="A105" s="62">
        <v>100</v>
      </c>
      <c r="B105" s="89">
        <v>226</v>
      </c>
      <c r="C105" s="105" t="s">
        <v>202</v>
      </c>
      <c r="D105" s="89" t="s">
        <v>208</v>
      </c>
      <c r="E105" s="108" t="s">
        <v>322</v>
      </c>
      <c r="F105" s="110" t="s">
        <v>197</v>
      </c>
      <c r="G105" s="109">
        <v>50.54</v>
      </c>
      <c r="H105" s="87"/>
      <c r="I105" s="87"/>
      <c r="J105" s="89" t="s">
        <v>173</v>
      </c>
      <c r="K105" s="90" t="s">
        <v>219</v>
      </c>
      <c r="L105" s="87">
        <f>VLOOKUP(K105,Reinigungstage!$A$10:$H$31,8,FALSE)</f>
        <v>1</v>
      </c>
      <c r="M105" s="87">
        <f t="shared" si="7"/>
        <v>50.54</v>
      </c>
      <c r="N105" s="91">
        <f>VLOOKUP(J105,'Lei Grund OS Nossen'!$A$6:$B$14,2,0)</f>
        <v>0</v>
      </c>
      <c r="O105" s="92" t="str">
        <f ca="1">'SVS GrundRG'!$H$61</f>
        <v/>
      </c>
      <c r="P105" s="87">
        <f t="shared" si="8"/>
        <v>0</v>
      </c>
      <c r="Q105" s="87">
        <f t="shared" si="9"/>
        <v>0</v>
      </c>
      <c r="R105" s="87">
        <f t="shared" si="10"/>
        <v>0</v>
      </c>
      <c r="S105" s="87">
        <f t="shared" si="11"/>
        <v>0</v>
      </c>
    </row>
  </sheetData>
  <sheetProtection algorithmName="SHA-512" hashValue="vOndRSXDlOt9a2cvscrr9xFt/CfLoljlu27l6B+LJhcrzBGRj5p6aghqp3VJniw1ckeSXZBikfQMZn4kinLPSw==" saltValue="pbHVnJ+00YrhMMQHeVzeLw==" spinCount="100000" sheet="1" objects="1" scenarios="1" formatCells="0" formatColumns="0" formatRows="0" insertColumns="0" insertRows="0" insertHyperlinks="0" deleteColumns="0" deleteRows="0"/>
  <phoneticPr fontId="20" type="noConversion"/>
  <hyperlinks>
    <hyperlink ref="M1" location="Inhaltsverzeichnis!A1" display="Zurück zum Inhaltsverzeichnis" xr:uid="{F019137D-0B9D-47F1-8A89-E8E752DF98E2}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255E5-909C-40B4-A5C5-113F73F15796}">
  <dimension ref="A1:H11"/>
  <sheetViews>
    <sheetView workbookViewId="0">
      <selection activeCell="C6" sqref="C6:C11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161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162</v>
      </c>
      <c r="B3" s="76" t="s">
        <v>413</v>
      </c>
      <c r="C3" s="76"/>
      <c r="D3" s="14"/>
      <c r="E3" s="14"/>
      <c r="F3" s="14"/>
      <c r="G3" s="14"/>
      <c r="H3" s="14"/>
    </row>
    <row r="4" spans="1:8" ht="51" customHeight="1" x14ac:dyDescent="0.25">
      <c r="A4" s="130" t="s">
        <v>163</v>
      </c>
      <c r="B4" s="130"/>
      <c r="C4" s="130"/>
      <c r="D4" s="14"/>
      <c r="E4" s="14"/>
      <c r="F4" s="14"/>
      <c r="G4" s="14"/>
      <c r="H4" s="14"/>
    </row>
    <row r="5" spans="1:8" x14ac:dyDescent="0.25">
      <c r="A5" s="77" t="s">
        <v>164</v>
      </c>
      <c r="B5" s="77" t="s">
        <v>165</v>
      </c>
      <c r="C5" s="77" t="s">
        <v>166</v>
      </c>
      <c r="D5" s="14"/>
      <c r="E5" s="14"/>
      <c r="F5" s="14"/>
      <c r="G5" s="14"/>
      <c r="H5" s="14"/>
    </row>
    <row r="6" spans="1:8" x14ac:dyDescent="0.25">
      <c r="A6" s="81" t="s">
        <v>170</v>
      </c>
      <c r="B6" s="79"/>
      <c r="C6" s="80">
        <f ca="1">SUMIF('Kal Grund TH OS Nossen'!J6:M65,$A$6,'Kal Grund TH OS Nossen'!M6:M65)</f>
        <v>135.29</v>
      </c>
      <c r="D6" s="14"/>
      <c r="E6" s="14"/>
      <c r="F6" s="14"/>
      <c r="G6" s="14"/>
      <c r="H6" s="14"/>
    </row>
    <row r="7" spans="1:8" x14ac:dyDescent="0.25">
      <c r="A7" s="81" t="s">
        <v>174</v>
      </c>
      <c r="B7" s="79"/>
      <c r="C7" s="80">
        <f ca="1">SUMIF('Kal Grund TH OS Nossen'!J6:M65,$A$7,'Kal Grund TH OS Nossen'!M6:M65)</f>
        <v>92.759999999999991</v>
      </c>
      <c r="D7" s="14"/>
      <c r="E7" s="14"/>
      <c r="F7" s="14"/>
      <c r="G7" s="14"/>
      <c r="H7" s="14"/>
    </row>
    <row r="8" spans="1:8" x14ac:dyDescent="0.25">
      <c r="A8" s="81" t="s">
        <v>168</v>
      </c>
      <c r="B8" s="79"/>
      <c r="C8" s="80">
        <f ca="1">SUMIF('Kal Grund TH OS Nossen'!J6:M65,$A$8,'Kal Grund TH OS Nossen'!M6:M65)</f>
        <v>7.53</v>
      </c>
      <c r="D8" s="14"/>
      <c r="E8" s="14"/>
      <c r="F8" s="14"/>
      <c r="G8" s="14"/>
      <c r="H8" s="14"/>
    </row>
    <row r="9" spans="1:8" x14ac:dyDescent="0.25">
      <c r="A9" s="81" t="s">
        <v>169</v>
      </c>
      <c r="B9" s="79"/>
      <c r="C9" s="80">
        <f ca="1">SUMIF('Kal Grund TH OS Nossen'!J6:M65,$A$9,'Kal Grund TH OS Nossen'!M6:M65)</f>
        <v>67.59999999999998</v>
      </c>
      <c r="D9" s="14"/>
      <c r="E9" s="14"/>
      <c r="F9" s="14"/>
      <c r="G9" s="14"/>
      <c r="H9" s="14"/>
    </row>
    <row r="10" spans="1:8" x14ac:dyDescent="0.25">
      <c r="A10" s="81" t="s">
        <v>172</v>
      </c>
      <c r="B10" s="79"/>
      <c r="C10" s="80">
        <f ca="1">SUMIF('Kal Grund TH OS Nossen'!J6:M65,$A$10,'Kal Grund TH OS Nossen'!M6:M65)</f>
        <v>93.11</v>
      </c>
    </row>
    <row r="11" spans="1:8" x14ac:dyDescent="0.25">
      <c r="A11" s="81" t="s">
        <v>409</v>
      </c>
      <c r="B11" s="79"/>
      <c r="C11" s="80">
        <f ca="1">SUMIF('Kal Grund TH OS Nossen'!J6:M65,$A$11,'Kal Grund TH OS Nossen'!M6:M65)</f>
        <v>968</v>
      </c>
    </row>
  </sheetData>
  <sheetProtection algorithmName="SHA-512" hashValue="KnVlKpymXgT+dNC4VNFmnuJGy3tDhRW3prCqElcUQwqbtkDssPSPGJh9/xpqxyqQ6J9BJW35jtP1w70BJ6R+vA==" saltValue="IPPIVIbxYu1nt+00eF8vuw==" spinCount="100000" sheet="1" objects="1" scenarios="1" formatCells="0" formatColumns="0" formatRows="0" insertColumns="0" insertRows="0" insertHyperlinks="0" deleteColumns="0" deleteRows="0"/>
  <protectedRanges>
    <protectedRange sqref="B6:B11" name="Bereich1"/>
  </protectedRanges>
  <mergeCells count="1">
    <mergeCell ref="A4:C4"/>
  </mergeCells>
  <hyperlinks>
    <hyperlink ref="C1" location="Inhaltsverzeichnis!A1" display="Zurück zum Inhaltsverzeichnis" xr:uid="{64D842CE-01FE-42EE-8DCA-C54BB8AEC742}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7A04-734D-4596-860D-7D738202DDA3}">
  <dimension ref="A1:S39"/>
  <sheetViews>
    <sheetView workbookViewId="0">
      <selection activeCell="B3" sqref="B3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162</v>
      </c>
      <c r="B3" s="14" t="s">
        <v>413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177</v>
      </c>
      <c r="B4" s="77" t="s">
        <v>178</v>
      </c>
      <c r="C4" s="84" t="s">
        <v>179</v>
      </c>
      <c r="D4" s="84" t="s">
        <v>180</v>
      </c>
      <c r="E4" s="77" t="s">
        <v>181</v>
      </c>
      <c r="F4" s="84" t="s">
        <v>182</v>
      </c>
      <c r="G4" s="77" t="s">
        <v>183</v>
      </c>
      <c r="H4" s="77" t="s">
        <v>184</v>
      </c>
      <c r="I4" s="77" t="s">
        <v>185</v>
      </c>
      <c r="J4" s="77" t="s">
        <v>186</v>
      </c>
      <c r="K4" s="77" t="s">
        <v>187</v>
      </c>
      <c r="L4" s="77" t="s">
        <v>222</v>
      </c>
      <c r="M4" s="77" t="s">
        <v>188</v>
      </c>
      <c r="N4" s="77" t="s">
        <v>189</v>
      </c>
      <c r="O4" s="77" t="s">
        <v>190</v>
      </c>
      <c r="P4" s="77" t="s">
        <v>191</v>
      </c>
      <c r="Q4" s="77" t="s">
        <v>192</v>
      </c>
      <c r="R4" s="77" t="s">
        <v>193</v>
      </c>
      <c r="S4" s="77" t="s">
        <v>194</v>
      </c>
    </row>
    <row r="5" spans="1:19" x14ac:dyDescent="0.25">
      <c r="A5" s="85" t="s">
        <v>195</v>
      </c>
      <c r="B5" s="62"/>
      <c r="C5" s="62"/>
      <c r="D5" s="62"/>
      <c r="E5" s="62"/>
      <c r="F5" s="62"/>
      <c r="G5" s="86">
        <f>SUM(G6:G39)</f>
        <v>1364.29</v>
      </c>
      <c r="H5" s="86">
        <f t="shared" ref="H5:I5" si="0">SUM(H6:H39)</f>
        <v>0</v>
      </c>
      <c r="I5" s="86">
        <f t="shared" si="0"/>
        <v>2</v>
      </c>
      <c r="J5" s="87"/>
      <c r="K5" s="87"/>
      <c r="L5" s="88">
        <f>MAX(L6:L14)</f>
        <v>1</v>
      </c>
      <c r="M5" s="86">
        <f>SUM(M6:M39)</f>
        <v>1364.29</v>
      </c>
      <c r="N5" s="87"/>
      <c r="O5" s="87"/>
      <c r="P5" s="86">
        <f>SUM(P6:P39)</f>
        <v>0</v>
      </c>
      <c r="Q5" s="86">
        <f t="shared" ref="Q5:S5" si="1">SUM(Q6:Q39)</f>
        <v>0</v>
      </c>
      <c r="R5" s="86">
        <f t="shared" si="1"/>
        <v>0</v>
      </c>
      <c r="S5" s="86">
        <f t="shared" si="1"/>
        <v>0</v>
      </c>
    </row>
    <row r="6" spans="1:19" x14ac:dyDescent="0.25">
      <c r="A6" s="62">
        <v>1</v>
      </c>
      <c r="B6" s="89" t="s">
        <v>261</v>
      </c>
      <c r="C6" s="89" t="s">
        <v>196</v>
      </c>
      <c r="D6" s="89" t="s">
        <v>226</v>
      </c>
      <c r="E6" s="62" t="s">
        <v>330</v>
      </c>
      <c r="F6" s="62" t="s">
        <v>200</v>
      </c>
      <c r="G6" s="87">
        <v>19.13</v>
      </c>
      <c r="H6" s="87"/>
      <c r="I6" s="87"/>
      <c r="J6" s="89" t="s">
        <v>172</v>
      </c>
      <c r="K6" s="90" t="s">
        <v>219</v>
      </c>
      <c r="L6" s="87">
        <f>VLOOKUP(K6,Reinigungstage!$A$10:$I$31,9,FALSE)</f>
        <v>1</v>
      </c>
      <c r="M6" s="87">
        <f t="shared" ref="M6" si="2">ROUND(IF(L6=0,0,L6*G6),2)</f>
        <v>19.13</v>
      </c>
      <c r="N6" s="91">
        <f>VLOOKUP(J6,'Lei Grund TH OS Nossen'!$A$6:$B$13,2,0)</f>
        <v>0</v>
      </c>
      <c r="O6" s="92" t="str">
        <f ca="1">'SVS GrundRG'!$H$61</f>
        <v/>
      </c>
      <c r="P6" s="87">
        <f t="shared" ref="P6" si="3">ROUND(IF(N6=0,0,M6/N6),2)</f>
        <v>0</v>
      </c>
      <c r="Q6" s="87">
        <f t="shared" ref="Q6" si="4">ROUND(IF(P6=0,0,P6*O6),2)</f>
        <v>0</v>
      </c>
      <c r="R6" s="87">
        <f t="shared" ref="R6" si="5">ROUND(IF(P6=0,0,P6/L6),2)</f>
        <v>0</v>
      </c>
      <c r="S6" s="87">
        <f t="shared" ref="S6" si="6">ROUND(IF(Q6=0,0,Q6/L6),2)</f>
        <v>0</v>
      </c>
    </row>
    <row r="7" spans="1:19" x14ac:dyDescent="0.25">
      <c r="A7" s="62">
        <v>2</v>
      </c>
      <c r="B7" s="89" t="s">
        <v>260</v>
      </c>
      <c r="C7" s="89" t="s">
        <v>196</v>
      </c>
      <c r="D7" s="89" t="s">
        <v>226</v>
      </c>
      <c r="E7" s="62" t="s">
        <v>331</v>
      </c>
      <c r="F7" s="62" t="s">
        <v>200</v>
      </c>
      <c r="G7" s="87">
        <v>10.27</v>
      </c>
      <c r="H7" s="87"/>
      <c r="I7" s="87"/>
      <c r="J7" s="89" t="s">
        <v>169</v>
      </c>
      <c r="K7" s="90" t="s">
        <v>219</v>
      </c>
      <c r="L7" s="87">
        <f>VLOOKUP(K7,Reinigungstage!$A$10:$I$31,9,FALSE)</f>
        <v>1</v>
      </c>
      <c r="M7" s="87">
        <f t="shared" ref="M7:M38" si="7">ROUND(IF(L7=0,0,L7*G7),2)</f>
        <v>10.27</v>
      </c>
      <c r="N7" s="91">
        <f>VLOOKUP(J7,'Lei Grund TH OS Nossen'!$A$6:$B$13,2,0)</f>
        <v>0</v>
      </c>
      <c r="O7" s="92" t="str">
        <f ca="1">'SVS GrundRG'!$H$61</f>
        <v/>
      </c>
      <c r="P7" s="87">
        <f t="shared" ref="P7:P38" si="8">ROUND(IF(N7=0,0,M7/N7),2)</f>
        <v>0</v>
      </c>
      <c r="Q7" s="87">
        <f t="shared" ref="Q7:Q38" si="9">ROUND(IF(P7=0,0,P7*O7),2)</f>
        <v>0</v>
      </c>
      <c r="R7" s="87">
        <f t="shared" ref="R7:R38" si="10">ROUND(IF(P7=0,0,P7/L7),2)</f>
        <v>0</v>
      </c>
      <c r="S7" s="87">
        <f t="shared" ref="S7:S38" si="11">ROUND(IF(Q7=0,0,Q7/L7),2)</f>
        <v>0</v>
      </c>
    </row>
    <row r="8" spans="1:19" x14ac:dyDescent="0.25">
      <c r="A8" s="62">
        <v>3</v>
      </c>
      <c r="B8" s="89" t="s">
        <v>363</v>
      </c>
      <c r="C8" s="89" t="s">
        <v>196</v>
      </c>
      <c r="D8" s="89" t="s">
        <v>226</v>
      </c>
      <c r="E8" s="62" t="s">
        <v>332</v>
      </c>
      <c r="F8" s="62" t="s">
        <v>200</v>
      </c>
      <c r="G8" s="106">
        <v>1.55</v>
      </c>
      <c r="H8" s="87"/>
      <c r="I8" s="87"/>
      <c r="J8" s="89" t="s">
        <v>169</v>
      </c>
      <c r="K8" s="90" t="s">
        <v>219</v>
      </c>
      <c r="L8" s="87">
        <f>VLOOKUP(K8,Reinigungstage!$A$10:$I$31,9,FALSE)</f>
        <v>1</v>
      </c>
      <c r="M8" s="87">
        <f t="shared" si="7"/>
        <v>1.55</v>
      </c>
      <c r="N8" s="91">
        <f>VLOOKUP(J8,'Lei Grund TH OS Nossen'!$A$6:$B$13,2,0)</f>
        <v>0</v>
      </c>
      <c r="O8" s="92" t="str">
        <f ca="1">'SVS GrundRG'!$H$61</f>
        <v/>
      </c>
      <c r="P8" s="87">
        <f t="shared" si="8"/>
        <v>0</v>
      </c>
      <c r="Q8" s="87">
        <f t="shared" si="9"/>
        <v>0</v>
      </c>
      <c r="R8" s="87">
        <f t="shared" si="10"/>
        <v>0</v>
      </c>
      <c r="S8" s="87">
        <f t="shared" si="11"/>
        <v>0</v>
      </c>
    </row>
    <row r="9" spans="1:19" x14ac:dyDescent="0.25">
      <c r="A9" s="62">
        <v>4</v>
      </c>
      <c r="B9" s="89" t="s">
        <v>259</v>
      </c>
      <c r="C9" s="89" t="s">
        <v>196</v>
      </c>
      <c r="D9" s="89" t="s">
        <v>226</v>
      </c>
      <c r="E9" s="62" t="s">
        <v>333</v>
      </c>
      <c r="F9" s="62" t="s">
        <v>200</v>
      </c>
      <c r="G9" s="106">
        <v>1.55</v>
      </c>
      <c r="H9" s="87"/>
      <c r="I9" s="87"/>
      <c r="J9" s="89" t="s">
        <v>169</v>
      </c>
      <c r="K9" s="90" t="s">
        <v>219</v>
      </c>
      <c r="L9" s="87">
        <f>VLOOKUP(K9,Reinigungstage!$A$10:$I$31,9,FALSE)</f>
        <v>1</v>
      </c>
      <c r="M9" s="87">
        <f t="shared" si="7"/>
        <v>1.55</v>
      </c>
      <c r="N9" s="91">
        <f>VLOOKUP(J9,'Lei Grund TH OS Nossen'!$A$6:$B$13,2,0)</f>
        <v>0</v>
      </c>
      <c r="O9" s="92" t="str">
        <f ca="1">'SVS GrundRG'!$H$61</f>
        <v/>
      </c>
      <c r="P9" s="87">
        <f t="shared" si="8"/>
        <v>0</v>
      </c>
      <c r="Q9" s="87">
        <f t="shared" si="9"/>
        <v>0</v>
      </c>
      <c r="R9" s="87">
        <f t="shared" si="10"/>
        <v>0</v>
      </c>
      <c r="S9" s="87">
        <f t="shared" si="11"/>
        <v>0</v>
      </c>
    </row>
    <row r="10" spans="1:19" x14ac:dyDescent="0.25">
      <c r="A10" s="62">
        <v>5</v>
      </c>
      <c r="B10" s="89" t="s">
        <v>366</v>
      </c>
      <c r="C10" s="89" t="s">
        <v>196</v>
      </c>
      <c r="D10" s="89" t="s">
        <v>226</v>
      </c>
      <c r="E10" s="62" t="s">
        <v>334</v>
      </c>
      <c r="F10" s="62" t="s">
        <v>200</v>
      </c>
      <c r="G10" s="106">
        <v>9.92</v>
      </c>
      <c r="H10" s="87"/>
      <c r="I10" s="87"/>
      <c r="J10" s="89" t="s">
        <v>169</v>
      </c>
      <c r="K10" s="90" t="s">
        <v>219</v>
      </c>
      <c r="L10" s="87">
        <f>VLOOKUP(K10,Reinigungstage!$A$10:$I$31,9,FALSE)</f>
        <v>1</v>
      </c>
      <c r="M10" s="87">
        <f t="shared" si="7"/>
        <v>9.92</v>
      </c>
      <c r="N10" s="91">
        <f>VLOOKUP(J10,'Lei Grund TH OS Nossen'!$A$6:$B$13,2,0)</f>
        <v>0</v>
      </c>
      <c r="O10" s="92" t="str">
        <f ca="1">'SVS GrundRG'!$H$61</f>
        <v/>
      </c>
      <c r="P10" s="87">
        <f t="shared" si="8"/>
        <v>0</v>
      </c>
      <c r="Q10" s="87">
        <f t="shared" si="9"/>
        <v>0</v>
      </c>
      <c r="R10" s="87">
        <f t="shared" si="10"/>
        <v>0</v>
      </c>
      <c r="S10" s="87">
        <f t="shared" si="11"/>
        <v>0</v>
      </c>
    </row>
    <row r="11" spans="1:19" x14ac:dyDescent="0.25">
      <c r="A11" s="62">
        <v>6</v>
      </c>
      <c r="B11" s="89" t="s">
        <v>365</v>
      </c>
      <c r="C11" s="89" t="s">
        <v>196</v>
      </c>
      <c r="D11" s="89" t="s">
        <v>226</v>
      </c>
      <c r="E11" s="62" t="s">
        <v>335</v>
      </c>
      <c r="F11" s="62" t="s">
        <v>200</v>
      </c>
      <c r="G11" s="106">
        <v>1.55</v>
      </c>
      <c r="H11" s="87"/>
      <c r="I11" s="87"/>
      <c r="J11" s="89" t="s">
        <v>169</v>
      </c>
      <c r="K11" s="90" t="s">
        <v>219</v>
      </c>
      <c r="L11" s="87">
        <f>VLOOKUP(K11,Reinigungstage!$A$10:$I$31,9,FALSE)</f>
        <v>1</v>
      </c>
      <c r="M11" s="87">
        <f t="shared" si="7"/>
        <v>1.55</v>
      </c>
      <c r="N11" s="91">
        <f>VLOOKUP(J11,'Lei Grund TH OS Nossen'!$A$6:$B$13,2,0)</f>
        <v>0</v>
      </c>
      <c r="O11" s="92" t="str">
        <f ca="1">'SVS GrundRG'!$H$61</f>
        <v/>
      </c>
      <c r="P11" s="87">
        <f t="shared" si="8"/>
        <v>0</v>
      </c>
      <c r="Q11" s="87">
        <f t="shared" si="9"/>
        <v>0</v>
      </c>
      <c r="R11" s="87">
        <f t="shared" si="10"/>
        <v>0</v>
      </c>
      <c r="S11" s="87">
        <f t="shared" si="11"/>
        <v>0</v>
      </c>
    </row>
    <row r="12" spans="1:19" x14ac:dyDescent="0.25">
      <c r="A12" s="62">
        <v>7</v>
      </c>
      <c r="B12" s="89" t="s">
        <v>364</v>
      </c>
      <c r="C12" s="89" t="s">
        <v>196</v>
      </c>
      <c r="D12" s="89" t="s">
        <v>226</v>
      </c>
      <c r="E12" s="62" t="s">
        <v>336</v>
      </c>
      <c r="F12" s="62" t="s">
        <v>200</v>
      </c>
      <c r="G12" s="109">
        <v>1.55</v>
      </c>
      <c r="H12" s="87"/>
      <c r="I12" s="87"/>
      <c r="J12" s="89" t="s">
        <v>169</v>
      </c>
      <c r="K12" s="90" t="s">
        <v>219</v>
      </c>
      <c r="L12" s="87">
        <f>VLOOKUP(K12,Reinigungstage!$A$10:$I$31,9,FALSE)</f>
        <v>1</v>
      </c>
      <c r="M12" s="87">
        <f t="shared" si="7"/>
        <v>1.55</v>
      </c>
      <c r="N12" s="91">
        <f>VLOOKUP(J12,'Lei Grund TH OS Nossen'!$A$6:$B$13,2,0)</f>
        <v>0</v>
      </c>
      <c r="O12" s="92" t="str">
        <f ca="1">'SVS GrundRG'!$H$61</f>
        <v/>
      </c>
      <c r="P12" s="87">
        <f t="shared" si="8"/>
        <v>0</v>
      </c>
      <c r="Q12" s="87">
        <f t="shared" si="9"/>
        <v>0</v>
      </c>
      <c r="R12" s="87">
        <f t="shared" si="10"/>
        <v>0</v>
      </c>
      <c r="S12" s="87">
        <f t="shared" si="11"/>
        <v>0</v>
      </c>
    </row>
    <row r="13" spans="1:19" x14ac:dyDescent="0.25">
      <c r="A13" s="62">
        <v>8</v>
      </c>
      <c r="B13" s="89" t="s">
        <v>258</v>
      </c>
      <c r="C13" s="89" t="s">
        <v>196</v>
      </c>
      <c r="D13" s="89" t="s">
        <v>226</v>
      </c>
      <c r="E13" s="62" t="s">
        <v>337</v>
      </c>
      <c r="F13" s="62" t="s">
        <v>200</v>
      </c>
      <c r="G13" s="106">
        <v>20.010000000000002</v>
      </c>
      <c r="H13" s="87"/>
      <c r="I13" s="87"/>
      <c r="J13" s="89" t="s">
        <v>172</v>
      </c>
      <c r="K13" s="90" t="s">
        <v>219</v>
      </c>
      <c r="L13" s="87">
        <f>VLOOKUP(K13,Reinigungstage!$A$10:$I$31,9,FALSE)</f>
        <v>1</v>
      </c>
      <c r="M13" s="87">
        <f t="shared" si="7"/>
        <v>20.010000000000002</v>
      </c>
      <c r="N13" s="91">
        <f>VLOOKUP(J13,'Lei Grund TH OS Nossen'!$A$6:$B$13,2,0)</f>
        <v>0</v>
      </c>
      <c r="O13" s="92" t="str">
        <f ca="1">'SVS GrundRG'!$H$61</f>
        <v/>
      </c>
      <c r="P13" s="87">
        <f t="shared" si="8"/>
        <v>0</v>
      </c>
      <c r="Q13" s="87">
        <f t="shared" si="9"/>
        <v>0</v>
      </c>
      <c r="R13" s="87">
        <f t="shared" si="10"/>
        <v>0</v>
      </c>
      <c r="S13" s="87">
        <f t="shared" si="11"/>
        <v>0</v>
      </c>
    </row>
    <row r="14" spans="1:19" x14ac:dyDescent="0.25">
      <c r="A14" s="62">
        <v>9</v>
      </c>
      <c r="B14" s="89" t="s">
        <v>257</v>
      </c>
      <c r="C14" s="89" t="s">
        <v>196</v>
      </c>
      <c r="D14" s="89" t="s">
        <v>226</v>
      </c>
      <c r="E14" s="62" t="s">
        <v>338</v>
      </c>
      <c r="F14" s="62" t="s">
        <v>200</v>
      </c>
      <c r="G14" s="106">
        <v>9.8699999999999992</v>
      </c>
      <c r="H14" s="87"/>
      <c r="I14" s="87"/>
      <c r="J14" s="89" t="s">
        <v>170</v>
      </c>
      <c r="K14" s="90" t="s">
        <v>219</v>
      </c>
      <c r="L14" s="87">
        <f>VLOOKUP(K14,Reinigungstage!$A$10:$I$31,9,FALSE)</f>
        <v>1</v>
      </c>
      <c r="M14" s="87">
        <f t="shared" si="7"/>
        <v>9.8699999999999992</v>
      </c>
      <c r="N14" s="91">
        <f>VLOOKUP(J14,'Lei Grund TH OS Nossen'!$A$6:$B$13,2,0)</f>
        <v>0</v>
      </c>
      <c r="O14" s="92" t="str">
        <f ca="1">'SVS GrundRG'!$H$61</f>
        <v/>
      </c>
      <c r="P14" s="87">
        <f t="shared" si="8"/>
        <v>0</v>
      </c>
      <c r="Q14" s="87">
        <f t="shared" si="9"/>
        <v>0</v>
      </c>
      <c r="R14" s="87">
        <f t="shared" si="10"/>
        <v>0</v>
      </c>
      <c r="S14" s="87">
        <f t="shared" si="11"/>
        <v>0</v>
      </c>
    </row>
    <row r="15" spans="1:19" x14ac:dyDescent="0.25">
      <c r="A15" s="62">
        <v>10</v>
      </c>
      <c r="B15" s="89" t="s">
        <v>233</v>
      </c>
      <c r="C15" s="89" t="s">
        <v>196</v>
      </c>
      <c r="D15" s="89" t="s">
        <v>226</v>
      </c>
      <c r="E15" s="62" t="s">
        <v>339</v>
      </c>
      <c r="F15" s="62" t="s">
        <v>200</v>
      </c>
      <c r="G15" s="87">
        <v>4.6399999999999997</v>
      </c>
      <c r="H15" s="87"/>
      <c r="I15" s="87"/>
      <c r="J15" s="89" t="s">
        <v>170</v>
      </c>
      <c r="K15" s="90" t="s">
        <v>219</v>
      </c>
      <c r="L15" s="87">
        <f>VLOOKUP(K15,Reinigungstage!$A$10:$I$31,9,FALSE)</f>
        <v>1</v>
      </c>
      <c r="M15" s="87">
        <f t="shared" si="7"/>
        <v>4.6399999999999997</v>
      </c>
      <c r="N15" s="91">
        <f>VLOOKUP(J15,'Lei Grund TH OS Nossen'!$A$6:$B$13,2,0)</f>
        <v>0</v>
      </c>
      <c r="O15" s="92" t="str">
        <f ca="1">'SVS GrundRG'!$H$61</f>
        <v/>
      </c>
      <c r="P15" s="87">
        <f t="shared" si="8"/>
        <v>0</v>
      </c>
      <c r="Q15" s="87">
        <f t="shared" si="9"/>
        <v>0</v>
      </c>
      <c r="R15" s="87">
        <f t="shared" si="10"/>
        <v>0</v>
      </c>
      <c r="S15" s="87">
        <f t="shared" si="11"/>
        <v>0</v>
      </c>
    </row>
    <row r="16" spans="1:19" x14ac:dyDescent="0.25">
      <c r="A16" s="62">
        <v>11</v>
      </c>
      <c r="B16" s="89" t="s">
        <v>367</v>
      </c>
      <c r="C16" s="89" t="s">
        <v>196</v>
      </c>
      <c r="D16" s="89" t="s">
        <v>226</v>
      </c>
      <c r="E16" s="62" t="s">
        <v>340</v>
      </c>
      <c r="F16" s="62" t="s">
        <v>200</v>
      </c>
      <c r="G16" s="87">
        <v>31.32</v>
      </c>
      <c r="H16" s="87"/>
      <c r="I16" s="87"/>
      <c r="J16" s="89" t="s">
        <v>174</v>
      </c>
      <c r="K16" s="90" t="s">
        <v>219</v>
      </c>
      <c r="L16" s="87">
        <f>VLOOKUP(K16,Reinigungstage!$A$10:$I$31,9,FALSE)</f>
        <v>1</v>
      </c>
      <c r="M16" s="87">
        <f t="shared" si="7"/>
        <v>31.32</v>
      </c>
      <c r="N16" s="91">
        <f>VLOOKUP(J16,'Lei Grund TH OS Nossen'!$A$6:$B$13,2,0)</f>
        <v>0</v>
      </c>
      <c r="O16" s="92" t="str">
        <f ca="1">'SVS GrundRG'!$H$61</f>
        <v/>
      </c>
      <c r="P16" s="87">
        <f t="shared" si="8"/>
        <v>0</v>
      </c>
      <c r="Q16" s="87">
        <f t="shared" si="9"/>
        <v>0</v>
      </c>
      <c r="R16" s="87">
        <f t="shared" si="10"/>
        <v>0</v>
      </c>
      <c r="S16" s="87">
        <f t="shared" si="11"/>
        <v>0</v>
      </c>
    </row>
    <row r="17" spans="1:19" x14ac:dyDescent="0.25">
      <c r="A17" s="62">
        <v>12</v>
      </c>
      <c r="B17" s="89" t="s">
        <v>368</v>
      </c>
      <c r="C17" s="89" t="s">
        <v>196</v>
      </c>
      <c r="D17" s="89" t="s">
        <v>226</v>
      </c>
      <c r="E17" s="62" t="s">
        <v>341</v>
      </c>
      <c r="F17" s="62" t="s">
        <v>200</v>
      </c>
      <c r="G17" s="106">
        <v>30.12</v>
      </c>
      <c r="H17" s="87"/>
      <c r="I17" s="87">
        <v>1</v>
      </c>
      <c r="J17" s="89" t="s">
        <v>174</v>
      </c>
      <c r="K17" s="90" t="s">
        <v>219</v>
      </c>
      <c r="L17" s="87">
        <f>VLOOKUP(K17,Reinigungstage!$A$10:$I$31,9,FALSE)</f>
        <v>1</v>
      </c>
      <c r="M17" s="87">
        <f t="shared" si="7"/>
        <v>30.12</v>
      </c>
      <c r="N17" s="91">
        <f>VLOOKUP(J17,'Lei Grund TH OS Nossen'!$A$6:$B$13,2,0)</f>
        <v>0</v>
      </c>
      <c r="O17" s="92" t="str">
        <f ca="1">'SVS GrundRG'!$H$61</f>
        <v/>
      </c>
      <c r="P17" s="87">
        <f t="shared" si="8"/>
        <v>0</v>
      </c>
      <c r="Q17" s="87">
        <f t="shared" si="9"/>
        <v>0</v>
      </c>
      <c r="R17" s="87">
        <f t="shared" si="10"/>
        <v>0</v>
      </c>
      <c r="S17" s="87">
        <f t="shared" si="11"/>
        <v>0</v>
      </c>
    </row>
    <row r="18" spans="1:19" ht="21" x14ac:dyDescent="0.25">
      <c r="A18" s="62">
        <v>14</v>
      </c>
      <c r="B18" s="89" t="s">
        <v>262</v>
      </c>
      <c r="C18" s="89" t="s">
        <v>196</v>
      </c>
      <c r="D18" s="89" t="s">
        <v>226</v>
      </c>
      <c r="E18" s="62" t="s">
        <v>342</v>
      </c>
      <c r="F18" s="62" t="s">
        <v>227</v>
      </c>
      <c r="G18" s="106">
        <v>46.74</v>
      </c>
      <c r="H18" s="87"/>
      <c r="I18" s="87"/>
      <c r="J18" s="89" t="s">
        <v>170</v>
      </c>
      <c r="K18" s="90" t="s">
        <v>219</v>
      </c>
      <c r="L18" s="87">
        <f>VLOOKUP(K18,Reinigungstage!$A$10:$I$31,9,FALSE)</f>
        <v>1</v>
      </c>
      <c r="M18" s="87">
        <f t="shared" si="7"/>
        <v>46.74</v>
      </c>
      <c r="N18" s="91">
        <f>VLOOKUP(J18,'Lei Grund TH OS Nossen'!$A$6:$B$13,2,0)</f>
        <v>0</v>
      </c>
      <c r="O18" s="92" t="str">
        <f ca="1">'SVS GrundRG'!$H$61</f>
        <v/>
      </c>
      <c r="P18" s="87">
        <f t="shared" si="8"/>
        <v>0</v>
      </c>
      <c r="Q18" s="87">
        <f t="shared" si="9"/>
        <v>0</v>
      </c>
      <c r="R18" s="87">
        <f t="shared" si="10"/>
        <v>0</v>
      </c>
      <c r="S18" s="87">
        <f t="shared" si="11"/>
        <v>0</v>
      </c>
    </row>
    <row r="19" spans="1:19" x14ac:dyDescent="0.25">
      <c r="A19" s="62">
        <v>15</v>
      </c>
      <c r="B19" s="89" t="s">
        <v>263</v>
      </c>
      <c r="C19" s="89" t="s">
        <v>196</v>
      </c>
      <c r="D19" s="89" t="s">
        <v>226</v>
      </c>
      <c r="E19" s="62" t="s">
        <v>343</v>
      </c>
      <c r="F19" s="62" t="s">
        <v>200</v>
      </c>
      <c r="G19" s="106">
        <v>2.46</v>
      </c>
      <c r="H19" s="87"/>
      <c r="I19" s="87"/>
      <c r="J19" s="89" t="s">
        <v>169</v>
      </c>
      <c r="K19" s="90" t="s">
        <v>219</v>
      </c>
      <c r="L19" s="87">
        <f>VLOOKUP(K19,Reinigungstage!$A$10:$I$31,9,FALSE)</f>
        <v>1</v>
      </c>
      <c r="M19" s="87">
        <f t="shared" si="7"/>
        <v>2.46</v>
      </c>
      <c r="N19" s="91">
        <f>VLOOKUP(J19,'Lei Grund TH OS Nossen'!$A$6:$B$13,2,0)</f>
        <v>0</v>
      </c>
      <c r="O19" s="92" t="str">
        <f ca="1">'SVS GrundRG'!$H$61</f>
        <v/>
      </c>
      <c r="P19" s="87">
        <f t="shared" si="8"/>
        <v>0</v>
      </c>
      <c r="Q19" s="87">
        <f t="shared" si="9"/>
        <v>0</v>
      </c>
      <c r="R19" s="87">
        <f t="shared" si="10"/>
        <v>0</v>
      </c>
      <c r="S19" s="87">
        <f t="shared" si="11"/>
        <v>0</v>
      </c>
    </row>
    <row r="20" spans="1:19" x14ac:dyDescent="0.25">
      <c r="A20" s="62">
        <v>16</v>
      </c>
      <c r="B20" s="89" t="s">
        <v>265</v>
      </c>
      <c r="C20" s="89" t="s">
        <v>196</v>
      </c>
      <c r="D20" s="89" t="s">
        <v>226</v>
      </c>
      <c r="E20" s="62" t="s">
        <v>344</v>
      </c>
      <c r="F20" s="62" t="s">
        <v>200</v>
      </c>
      <c r="G20" s="109">
        <v>2.4500000000000002</v>
      </c>
      <c r="H20" s="87"/>
      <c r="I20" s="87"/>
      <c r="J20" s="89" t="s">
        <v>169</v>
      </c>
      <c r="K20" s="90" t="s">
        <v>219</v>
      </c>
      <c r="L20" s="87">
        <f>VLOOKUP(K20,Reinigungstage!$A$10:$I$31,9,FALSE)</f>
        <v>1</v>
      </c>
      <c r="M20" s="87">
        <f t="shared" si="7"/>
        <v>2.4500000000000002</v>
      </c>
      <c r="N20" s="91">
        <f>VLOOKUP(J20,'Lei Grund TH OS Nossen'!$A$6:$B$13,2,0)</f>
        <v>0</v>
      </c>
      <c r="O20" s="92" t="str">
        <f ca="1">'SVS GrundRG'!$H$61</f>
        <v/>
      </c>
      <c r="P20" s="87">
        <f t="shared" si="8"/>
        <v>0</v>
      </c>
      <c r="Q20" s="87">
        <f t="shared" si="9"/>
        <v>0</v>
      </c>
      <c r="R20" s="87">
        <f t="shared" si="10"/>
        <v>0</v>
      </c>
      <c r="S20" s="87">
        <f t="shared" si="11"/>
        <v>0</v>
      </c>
    </row>
    <row r="21" spans="1:19" x14ac:dyDescent="0.25">
      <c r="A21" s="62">
        <v>17</v>
      </c>
      <c r="B21" s="89" t="s">
        <v>266</v>
      </c>
      <c r="C21" s="89" t="s">
        <v>196</v>
      </c>
      <c r="D21" s="89" t="s">
        <v>226</v>
      </c>
      <c r="E21" s="62" t="s">
        <v>345</v>
      </c>
      <c r="F21" s="62" t="s">
        <v>197</v>
      </c>
      <c r="G21" s="106">
        <v>7.38</v>
      </c>
      <c r="H21" s="87"/>
      <c r="I21" s="87"/>
      <c r="J21" s="89" t="s">
        <v>172</v>
      </c>
      <c r="K21" s="90" t="s">
        <v>219</v>
      </c>
      <c r="L21" s="87">
        <f>VLOOKUP(K21,Reinigungstage!$A$10:$I$31,9,FALSE)</f>
        <v>1</v>
      </c>
      <c r="M21" s="87">
        <f t="shared" si="7"/>
        <v>7.38</v>
      </c>
      <c r="N21" s="91">
        <f>VLOOKUP(J21,'Lei Grund TH OS Nossen'!$A$6:$B$13,2,0)</f>
        <v>0</v>
      </c>
      <c r="O21" s="92" t="str">
        <f ca="1">'SVS GrundRG'!$H$61</f>
        <v/>
      </c>
      <c r="P21" s="87">
        <f t="shared" si="8"/>
        <v>0</v>
      </c>
      <c r="Q21" s="87">
        <f t="shared" si="9"/>
        <v>0</v>
      </c>
      <c r="R21" s="87">
        <f t="shared" si="10"/>
        <v>0</v>
      </c>
      <c r="S21" s="87">
        <f t="shared" si="11"/>
        <v>0</v>
      </c>
    </row>
    <row r="22" spans="1:19" x14ac:dyDescent="0.25">
      <c r="A22" s="62">
        <v>18</v>
      </c>
      <c r="B22" s="89" t="s">
        <v>264</v>
      </c>
      <c r="C22" s="89" t="s">
        <v>196</v>
      </c>
      <c r="D22" s="89" t="s">
        <v>226</v>
      </c>
      <c r="E22" s="62" t="s">
        <v>346</v>
      </c>
      <c r="F22" s="62" t="s">
        <v>197</v>
      </c>
      <c r="G22" s="106">
        <v>7.45</v>
      </c>
      <c r="H22" s="87"/>
      <c r="I22" s="87"/>
      <c r="J22" s="89" t="s">
        <v>172</v>
      </c>
      <c r="K22" s="90" t="s">
        <v>219</v>
      </c>
      <c r="L22" s="87">
        <f>VLOOKUP(K22,Reinigungstage!$A$10:$I$31,9,FALSE)</f>
        <v>1</v>
      </c>
      <c r="M22" s="87">
        <f t="shared" si="7"/>
        <v>7.45</v>
      </c>
      <c r="N22" s="91">
        <f>VLOOKUP(J22,'Lei Grund TH OS Nossen'!$A$6:$B$13,2,0)</f>
        <v>0</v>
      </c>
      <c r="O22" s="92" t="str">
        <f ca="1">'SVS GrundRG'!$H$61</f>
        <v/>
      </c>
      <c r="P22" s="87">
        <f t="shared" si="8"/>
        <v>0</v>
      </c>
      <c r="Q22" s="87">
        <f t="shared" si="9"/>
        <v>0</v>
      </c>
      <c r="R22" s="87">
        <f t="shared" si="10"/>
        <v>0</v>
      </c>
      <c r="S22" s="87">
        <f t="shared" si="11"/>
        <v>0</v>
      </c>
    </row>
    <row r="23" spans="1:19" x14ac:dyDescent="0.25">
      <c r="A23" s="62">
        <v>20</v>
      </c>
      <c r="B23" s="89" t="s">
        <v>268</v>
      </c>
      <c r="C23" s="89" t="s">
        <v>196</v>
      </c>
      <c r="D23" s="89" t="s">
        <v>226</v>
      </c>
      <c r="E23" s="62" t="s">
        <v>347</v>
      </c>
      <c r="F23" s="62" t="s">
        <v>200</v>
      </c>
      <c r="G23" s="87">
        <v>6.91</v>
      </c>
      <c r="H23" s="87"/>
      <c r="I23" s="87"/>
      <c r="J23" s="89" t="s">
        <v>170</v>
      </c>
      <c r="K23" s="90" t="s">
        <v>219</v>
      </c>
      <c r="L23" s="87">
        <f>VLOOKUP(K23,Reinigungstage!$A$10:$I$31,9,FALSE)</f>
        <v>1</v>
      </c>
      <c r="M23" s="87">
        <f t="shared" si="7"/>
        <v>6.91</v>
      </c>
      <c r="N23" s="91">
        <f>VLOOKUP(J23,'Lei Grund TH OS Nossen'!$A$6:$B$13,2,0)</f>
        <v>0</v>
      </c>
      <c r="O23" s="92" t="str">
        <f ca="1">'SVS GrundRG'!$H$61</f>
        <v/>
      </c>
      <c r="P23" s="87">
        <f t="shared" si="8"/>
        <v>0</v>
      </c>
      <c r="Q23" s="87">
        <f t="shared" si="9"/>
        <v>0</v>
      </c>
      <c r="R23" s="87">
        <f t="shared" si="10"/>
        <v>0</v>
      </c>
      <c r="S23" s="87">
        <f t="shared" si="11"/>
        <v>0</v>
      </c>
    </row>
    <row r="24" spans="1:19" x14ac:dyDescent="0.25">
      <c r="A24" s="62">
        <v>21</v>
      </c>
      <c r="B24" s="89" t="s">
        <v>270</v>
      </c>
      <c r="C24" s="89" t="s">
        <v>196</v>
      </c>
      <c r="D24" s="89" t="s">
        <v>226</v>
      </c>
      <c r="E24" s="62" t="s">
        <v>348</v>
      </c>
      <c r="F24" s="62" t="s">
        <v>200</v>
      </c>
      <c r="G24" s="106">
        <v>20.010000000000002</v>
      </c>
      <c r="H24" s="87"/>
      <c r="I24" s="87"/>
      <c r="J24" s="89" t="s">
        <v>172</v>
      </c>
      <c r="K24" s="90" t="s">
        <v>219</v>
      </c>
      <c r="L24" s="87">
        <f>VLOOKUP(K24,Reinigungstage!$A$10:$I$31,9,FALSE)</f>
        <v>1</v>
      </c>
      <c r="M24" s="87">
        <f t="shared" si="7"/>
        <v>20.010000000000002</v>
      </c>
      <c r="N24" s="91">
        <f>VLOOKUP(J24,'Lei Grund TH OS Nossen'!$A$6:$B$13,2,0)</f>
        <v>0</v>
      </c>
      <c r="O24" s="92" t="str">
        <f ca="1">'SVS GrundRG'!$H$61</f>
        <v/>
      </c>
      <c r="P24" s="87">
        <f t="shared" si="8"/>
        <v>0</v>
      </c>
      <c r="Q24" s="87">
        <f t="shared" si="9"/>
        <v>0</v>
      </c>
      <c r="R24" s="87">
        <f t="shared" si="10"/>
        <v>0</v>
      </c>
      <c r="S24" s="87">
        <f t="shared" si="11"/>
        <v>0</v>
      </c>
    </row>
    <row r="25" spans="1:19" x14ac:dyDescent="0.25">
      <c r="A25" s="62">
        <v>22</v>
      </c>
      <c r="B25" s="89" t="s">
        <v>271</v>
      </c>
      <c r="C25" s="89" t="s">
        <v>196</v>
      </c>
      <c r="D25" s="89" t="s">
        <v>226</v>
      </c>
      <c r="E25" s="62" t="s">
        <v>349</v>
      </c>
      <c r="F25" s="62" t="s">
        <v>200</v>
      </c>
      <c r="G25" s="106">
        <v>9.92</v>
      </c>
      <c r="H25" s="87"/>
      <c r="I25" s="87"/>
      <c r="J25" s="89" t="s">
        <v>169</v>
      </c>
      <c r="K25" s="90" t="s">
        <v>219</v>
      </c>
      <c r="L25" s="87">
        <f>VLOOKUP(K25,Reinigungstage!$A$10:$I$31,9,FALSE)</f>
        <v>1</v>
      </c>
      <c r="M25" s="87">
        <f t="shared" si="7"/>
        <v>9.92</v>
      </c>
      <c r="N25" s="91">
        <f>VLOOKUP(J25,'Lei Grund TH OS Nossen'!$A$6:$B$13,2,0)</f>
        <v>0</v>
      </c>
      <c r="O25" s="92" t="str">
        <f ca="1">'SVS GrundRG'!$H$61</f>
        <v/>
      </c>
      <c r="P25" s="87">
        <f t="shared" si="8"/>
        <v>0</v>
      </c>
      <c r="Q25" s="87">
        <f t="shared" si="9"/>
        <v>0</v>
      </c>
      <c r="R25" s="87">
        <f t="shared" si="10"/>
        <v>0</v>
      </c>
      <c r="S25" s="87">
        <f t="shared" si="11"/>
        <v>0</v>
      </c>
    </row>
    <row r="26" spans="1:19" x14ac:dyDescent="0.25">
      <c r="A26" s="62">
        <v>23</v>
      </c>
      <c r="B26" s="89" t="s">
        <v>272</v>
      </c>
      <c r="C26" s="89" t="s">
        <v>196</v>
      </c>
      <c r="D26" s="89" t="s">
        <v>226</v>
      </c>
      <c r="E26" s="62" t="s">
        <v>350</v>
      </c>
      <c r="F26" s="62" t="s">
        <v>200</v>
      </c>
      <c r="G26" s="106">
        <v>1.55</v>
      </c>
      <c r="H26" s="87"/>
      <c r="I26" s="87"/>
      <c r="J26" s="89" t="s">
        <v>169</v>
      </c>
      <c r="K26" s="90" t="s">
        <v>219</v>
      </c>
      <c r="L26" s="87">
        <f>VLOOKUP(K26,Reinigungstage!$A$10:$I$31,9,FALSE)</f>
        <v>1</v>
      </c>
      <c r="M26" s="87">
        <f t="shared" si="7"/>
        <v>1.55</v>
      </c>
      <c r="N26" s="91">
        <f>VLOOKUP(J26,'Lei Grund TH OS Nossen'!$A$6:$B$13,2,0)</f>
        <v>0</v>
      </c>
      <c r="O26" s="92" t="str">
        <f ca="1">'SVS GrundRG'!$H$61</f>
        <v/>
      </c>
      <c r="P26" s="87">
        <f t="shared" si="8"/>
        <v>0</v>
      </c>
      <c r="Q26" s="87">
        <f t="shared" si="9"/>
        <v>0</v>
      </c>
      <c r="R26" s="87">
        <f t="shared" si="10"/>
        <v>0</v>
      </c>
      <c r="S26" s="87">
        <f t="shared" si="11"/>
        <v>0</v>
      </c>
    </row>
    <row r="27" spans="1:19" x14ac:dyDescent="0.25">
      <c r="A27" s="62">
        <v>24</v>
      </c>
      <c r="B27" s="89" t="s">
        <v>276</v>
      </c>
      <c r="C27" s="89" t="s">
        <v>196</v>
      </c>
      <c r="D27" s="89" t="s">
        <v>226</v>
      </c>
      <c r="E27" s="62" t="s">
        <v>351</v>
      </c>
      <c r="F27" s="62" t="s">
        <v>200</v>
      </c>
      <c r="G27" s="106">
        <v>10.27</v>
      </c>
      <c r="H27" s="87"/>
      <c r="I27" s="87"/>
      <c r="J27" s="89" t="s">
        <v>169</v>
      </c>
      <c r="K27" s="90" t="s">
        <v>219</v>
      </c>
      <c r="L27" s="87">
        <f>VLOOKUP(K27,Reinigungstage!$A$10:$I$31,9,FALSE)</f>
        <v>1</v>
      </c>
      <c r="M27" s="87">
        <f t="shared" si="7"/>
        <v>10.27</v>
      </c>
      <c r="N27" s="91">
        <f>VLOOKUP(J27,'Lei Grund TH OS Nossen'!$A$6:$B$13,2,0)</f>
        <v>0</v>
      </c>
      <c r="O27" s="92" t="str">
        <f ca="1">'SVS GrundRG'!$H$61</f>
        <v/>
      </c>
      <c r="P27" s="87">
        <f t="shared" si="8"/>
        <v>0</v>
      </c>
      <c r="Q27" s="87">
        <f t="shared" si="9"/>
        <v>0</v>
      </c>
      <c r="R27" s="87">
        <f t="shared" si="10"/>
        <v>0</v>
      </c>
      <c r="S27" s="87">
        <f t="shared" si="11"/>
        <v>0</v>
      </c>
    </row>
    <row r="28" spans="1:19" x14ac:dyDescent="0.25">
      <c r="A28" s="62">
        <v>25</v>
      </c>
      <c r="B28" s="89" t="s">
        <v>277</v>
      </c>
      <c r="C28" s="89" t="s">
        <v>196</v>
      </c>
      <c r="D28" s="89" t="s">
        <v>226</v>
      </c>
      <c r="E28" s="62" t="s">
        <v>352</v>
      </c>
      <c r="F28" s="62" t="s">
        <v>200</v>
      </c>
      <c r="G28" s="109">
        <v>19.13</v>
      </c>
      <c r="H28" s="87"/>
      <c r="I28" s="87"/>
      <c r="J28" s="89" t="s">
        <v>172</v>
      </c>
      <c r="K28" s="90" t="s">
        <v>219</v>
      </c>
      <c r="L28" s="87">
        <f>VLOOKUP(K28,Reinigungstage!$A$10:$I$31,9,FALSE)</f>
        <v>1</v>
      </c>
      <c r="M28" s="87">
        <f t="shared" si="7"/>
        <v>19.13</v>
      </c>
      <c r="N28" s="91">
        <f>VLOOKUP(J28,'Lei Grund TH OS Nossen'!$A$6:$B$13,2,0)</f>
        <v>0</v>
      </c>
      <c r="O28" s="92" t="str">
        <f ca="1">'SVS GrundRG'!$H$61</f>
        <v/>
      </c>
      <c r="P28" s="87">
        <f t="shared" si="8"/>
        <v>0</v>
      </c>
      <c r="Q28" s="87">
        <f t="shared" si="9"/>
        <v>0</v>
      </c>
      <c r="R28" s="87">
        <f t="shared" si="10"/>
        <v>0</v>
      </c>
      <c r="S28" s="87">
        <f t="shared" si="11"/>
        <v>0</v>
      </c>
    </row>
    <row r="29" spans="1:19" x14ac:dyDescent="0.25">
      <c r="A29" s="62">
        <v>26</v>
      </c>
      <c r="B29" s="89" t="s">
        <v>275</v>
      </c>
      <c r="C29" s="89" t="s">
        <v>196</v>
      </c>
      <c r="D29" s="89" t="s">
        <v>226</v>
      </c>
      <c r="E29" s="62" t="s">
        <v>353</v>
      </c>
      <c r="F29" s="62" t="s">
        <v>200</v>
      </c>
      <c r="G29" s="106">
        <v>1.55</v>
      </c>
      <c r="H29" s="87"/>
      <c r="I29" s="87"/>
      <c r="J29" s="89" t="s">
        <v>169</v>
      </c>
      <c r="K29" s="90" t="s">
        <v>219</v>
      </c>
      <c r="L29" s="87">
        <f>VLOOKUP(K29,Reinigungstage!$A$10:$I$31,9,FALSE)</f>
        <v>1</v>
      </c>
      <c r="M29" s="87">
        <f t="shared" si="7"/>
        <v>1.55</v>
      </c>
      <c r="N29" s="91">
        <f>VLOOKUP(J29,'Lei Grund TH OS Nossen'!$A$6:$B$13,2,0)</f>
        <v>0</v>
      </c>
      <c r="O29" s="92" t="str">
        <f ca="1">'SVS GrundRG'!$H$61</f>
        <v/>
      </c>
      <c r="P29" s="87">
        <f t="shared" si="8"/>
        <v>0</v>
      </c>
      <c r="Q29" s="87">
        <f t="shared" si="9"/>
        <v>0</v>
      </c>
      <c r="R29" s="87">
        <f t="shared" si="10"/>
        <v>0</v>
      </c>
      <c r="S29" s="87">
        <f t="shared" si="11"/>
        <v>0</v>
      </c>
    </row>
    <row r="30" spans="1:19" x14ac:dyDescent="0.25">
      <c r="A30" s="62">
        <v>27</v>
      </c>
      <c r="B30" s="89" t="s">
        <v>273</v>
      </c>
      <c r="C30" s="89" t="s">
        <v>196</v>
      </c>
      <c r="D30" s="89" t="s">
        <v>226</v>
      </c>
      <c r="E30" s="62" t="s">
        <v>354</v>
      </c>
      <c r="F30" s="62" t="s">
        <v>200</v>
      </c>
      <c r="G30" s="106">
        <v>1.55</v>
      </c>
      <c r="H30" s="87"/>
      <c r="I30" s="87"/>
      <c r="J30" s="89" t="s">
        <v>169</v>
      </c>
      <c r="K30" s="90" t="s">
        <v>219</v>
      </c>
      <c r="L30" s="87">
        <f>VLOOKUP(K30,Reinigungstage!$A$10:$I$31,9,FALSE)</f>
        <v>1</v>
      </c>
      <c r="M30" s="87">
        <f t="shared" si="7"/>
        <v>1.55</v>
      </c>
      <c r="N30" s="91">
        <f>VLOOKUP(J30,'Lei Grund TH OS Nossen'!$A$6:$B$13,2,0)</f>
        <v>0</v>
      </c>
      <c r="O30" s="92" t="str">
        <f ca="1">'SVS GrundRG'!$H$61</f>
        <v/>
      </c>
      <c r="P30" s="87">
        <f t="shared" si="8"/>
        <v>0</v>
      </c>
      <c r="Q30" s="87">
        <f t="shared" si="9"/>
        <v>0</v>
      </c>
      <c r="R30" s="87">
        <f t="shared" si="10"/>
        <v>0</v>
      </c>
      <c r="S30" s="87">
        <f t="shared" si="11"/>
        <v>0</v>
      </c>
    </row>
    <row r="31" spans="1:19" x14ac:dyDescent="0.25">
      <c r="A31" s="62">
        <v>28</v>
      </c>
      <c r="B31" s="93" t="s">
        <v>274</v>
      </c>
      <c r="C31" s="89" t="s">
        <v>196</v>
      </c>
      <c r="D31" s="89" t="s">
        <v>226</v>
      </c>
      <c r="E31" s="62" t="s">
        <v>355</v>
      </c>
      <c r="F31" s="62" t="s">
        <v>200</v>
      </c>
      <c r="G31" s="87">
        <v>1.55</v>
      </c>
      <c r="H31" s="87"/>
      <c r="I31" s="87"/>
      <c r="J31" s="89" t="s">
        <v>169</v>
      </c>
      <c r="K31" s="90" t="s">
        <v>219</v>
      </c>
      <c r="L31" s="87">
        <f>VLOOKUP(K31,Reinigungstage!$A$10:$I$31,9,FALSE)</f>
        <v>1</v>
      </c>
      <c r="M31" s="87">
        <f t="shared" si="7"/>
        <v>1.55</v>
      </c>
      <c r="N31" s="91">
        <f>VLOOKUP(J31,'Lei Grund TH OS Nossen'!$A$6:$B$13,2,0)</f>
        <v>0</v>
      </c>
      <c r="O31" s="92" t="str">
        <f ca="1">'SVS GrundRG'!$H$61</f>
        <v/>
      </c>
      <c r="P31" s="87">
        <f t="shared" si="8"/>
        <v>0</v>
      </c>
      <c r="Q31" s="87">
        <f t="shared" si="9"/>
        <v>0</v>
      </c>
      <c r="R31" s="87">
        <f t="shared" si="10"/>
        <v>0</v>
      </c>
      <c r="S31" s="87">
        <f t="shared" si="11"/>
        <v>0</v>
      </c>
    </row>
    <row r="32" spans="1:19" x14ac:dyDescent="0.25">
      <c r="A32" s="62">
        <v>29</v>
      </c>
      <c r="B32" s="89" t="s">
        <v>267</v>
      </c>
      <c r="C32" s="89" t="s">
        <v>196</v>
      </c>
      <c r="D32" s="89" t="s">
        <v>226</v>
      </c>
      <c r="E32" s="62" t="s">
        <v>356</v>
      </c>
      <c r="F32" s="62" t="s">
        <v>200</v>
      </c>
      <c r="G32" s="87">
        <v>31.32</v>
      </c>
      <c r="H32" s="87"/>
      <c r="I32" s="87">
        <v>1</v>
      </c>
      <c r="J32" s="89" t="s">
        <v>174</v>
      </c>
      <c r="K32" s="90" t="s">
        <v>219</v>
      </c>
      <c r="L32" s="87">
        <f>VLOOKUP(K32,Reinigungstage!$A$10:$I$31,9,FALSE)</f>
        <v>1</v>
      </c>
      <c r="M32" s="87">
        <f t="shared" si="7"/>
        <v>31.32</v>
      </c>
      <c r="N32" s="91">
        <f>VLOOKUP(J32,'Lei Grund TH OS Nossen'!$A$6:$B$13,2,0)</f>
        <v>0</v>
      </c>
      <c r="O32" s="92" t="str">
        <f ca="1">'SVS GrundRG'!$H$61</f>
        <v/>
      </c>
      <c r="P32" s="87">
        <f t="shared" si="8"/>
        <v>0</v>
      </c>
      <c r="Q32" s="87">
        <f t="shared" si="9"/>
        <v>0</v>
      </c>
      <c r="R32" s="87">
        <f t="shared" si="10"/>
        <v>0</v>
      </c>
      <c r="S32" s="87">
        <f t="shared" si="11"/>
        <v>0</v>
      </c>
    </row>
    <row r="33" spans="1:19" x14ac:dyDescent="0.25">
      <c r="A33" s="62">
        <v>30</v>
      </c>
      <c r="B33" s="93" t="s">
        <v>369</v>
      </c>
      <c r="C33" s="89" t="s">
        <v>196</v>
      </c>
      <c r="D33" s="89" t="s">
        <v>226</v>
      </c>
      <c r="E33" s="62" t="s">
        <v>357</v>
      </c>
      <c r="F33" s="62" t="s">
        <v>200</v>
      </c>
      <c r="G33" s="87">
        <v>5.52</v>
      </c>
      <c r="H33" s="87"/>
      <c r="I33" s="87"/>
      <c r="J33" s="89" t="s">
        <v>169</v>
      </c>
      <c r="K33" s="90" t="s">
        <v>219</v>
      </c>
      <c r="L33" s="87">
        <f>VLOOKUP(K33,Reinigungstage!$A$10:$I$31,9,FALSE)</f>
        <v>1</v>
      </c>
      <c r="M33" s="87">
        <f t="shared" si="7"/>
        <v>5.52</v>
      </c>
      <c r="N33" s="91">
        <f>VLOOKUP(J33,'Lei Grund TH OS Nossen'!$A$6:$B$13,2,0)</f>
        <v>0</v>
      </c>
      <c r="O33" s="92" t="str">
        <f ca="1">'SVS GrundRG'!$H$61</f>
        <v/>
      </c>
      <c r="P33" s="87">
        <f t="shared" si="8"/>
        <v>0</v>
      </c>
      <c r="Q33" s="87">
        <f t="shared" si="9"/>
        <v>0</v>
      </c>
      <c r="R33" s="87">
        <f t="shared" si="10"/>
        <v>0</v>
      </c>
      <c r="S33" s="87">
        <f t="shared" si="11"/>
        <v>0</v>
      </c>
    </row>
    <row r="34" spans="1:19" x14ac:dyDescent="0.25">
      <c r="A34" s="62">
        <v>31</v>
      </c>
      <c r="B34" s="89" t="s">
        <v>280</v>
      </c>
      <c r="C34" s="89" t="s">
        <v>196</v>
      </c>
      <c r="D34" s="89" t="s">
        <v>226</v>
      </c>
      <c r="E34" s="62" t="s">
        <v>358</v>
      </c>
      <c r="F34" s="62" t="s">
        <v>200</v>
      </c>
      <c r="G34" s="87">
        <v>4.3899999999999997</v>
      </c>
      <c r="H34" s="87"/>
      <c r="I34" s="87"/>
      <c r="J34" s="89" t="s">
        <v>169</v>
      </c>
      <c r="K34" s="90" t="s">
        <v>219</v>
      </c>
      <c r="L34" s="87">
        <f>VLOOKUP(K34,Reinigungstage!$A$10:$I$31,9,FALSE)</f>
        <v>1</v>
      </c>
      <c r="M34" s="87">
        <f t="shared" si="7"/>
        <v>4.3899999999999997</v>
      </c>
      <c r="N34" s="91">
        <f>VLOOKUP(J34,'Lei Grund TH OS Nossen'!$A$6:$B$13,2,0)</f>
        <v>0</v>
      </c>
      <c r="O34" s="92" t="str">
        <f ca="1">'SVS GrundRG'!$H$61</f>
        <v/>
      </c>
      <c r="P34" s="87">
        <f t="shared" si="8"/>
        <v>0</v>
      </c>
      <c r="Q34" s="87">
        <f t="shared" si="9"/>
        <v>0</v>
      </c>
      <c r="R34" s="87">
        <f t="shared" si="10"/>
        <v>0</v>
      </c>
      <c r="S34" s="87">
        <f t="shared" si="11"/>
        <v>0</v>
      </c>
    </row>
    <row r="35" spans="1:19" x14ac:dyDescent="0.25">
      <c r="A35" s="62">
        <v>32</v>
      </c>
      <c r="B35" s="89" t="s">
        <v>371</v>
      </c>
      <c r="C35" s="89" t="s">
        <v>196</v>
      </c>
      <c r="D35" s="89" t="s">
        <v>226</v>
      </c>
      <c r="E35" s="62" t="s">
        <v>359</v>
      </c>
      <c r="F35" s="62" t="s">
        <v>197</v>
      </c>
      <c r="G35" s="106">
        <v>7.53</v>
      </c>
      <c r="H35" s="87"/>
      <c r="I35" s="87"/>
      <c r="J35" s="89" t="s">
        <v>168</v>
      </c>
      <c r="K35" s="90" t="s">
        <v>219</v>
      </c>
      <c r="L35" s="87">
        <f>VLOOKUP(K35,Reinigungstage!$A$10:$I$31,9,FALSE)</f>
        <v>1</v>
      </c>
      <c r="M35" s="87">
        <f t="shared" si="7"/>
        <v>7.53</v>
      </c>
      <c r="N35" s="91">
        <f>VLOOKUP(J35,'Lei Grund TH OS Nossen'!$A$6:$B$13,2,0)</f>
        <v>0</v>
      </c>
      <c r="O35" s="92" t="str">
        <f ca="1">'SVS GrundRG'!$H$61</f>
        <v/>
      </c>
      <c r="P35" s="87">
        <f t="shared" si="8"/>
        <v>0</v>
      </c>
      <c r="Q35" s="87">
        <f t="shared" si="9"/>
        <v>0</v>
      </c>
      <c r="R35" s="87">
        <f t="shared" si="10"/>
        <v>0</v>
      </c>
      <c r="S35" s="87">
        <f t="shared" si="11"/>
        <v>0</v>
      </c>
    </row>
    <row r="36" spans="1:19" x14ac:dyDescent="0.25">
      <c r="A36" s="62">
        <v>33</v>
      </c>
      <c r="B36" s="89" t="s">
        <v>370</v>
      </c>
      <c r="C36" s="89" t="s">
        <v>196</v>
      </c>
      <c r="D36" s="89" t="s">
        <v>226</v>
      </c>
      <c r="E36" s="62" t="s">
        <v>360</v>
      </c>
      <c r="F36" s="62" t="s">
        <v>197</v>
      </c>
      <c r="G36" s="106">
        <v>2.2999999999999998</v>
      </c>
      <c r="H36" s="87"/>
      <c r="I36" s="87"/>
      <c r="J36" s="89" t="s">
        <v>170</v>
      </c>
      <c r="K36" s="90" t="s">
        <v>219</v>
      </c>
      <c r="L36" s="87">
        <f>VLOOKUP(K36,Reinigungstage!$A$10:$I$31,9,FALSE)</f>
        <v>1</v>
      </c>
      <c r="M36" s="87">
        <f t="shared" si="7"/>
        <v>2.2999999999999998</v>
      </c>
      <c r="N36" s="91">
        <f>VLOOKUP(J36,'Lei Grund TH OS Nossen'!$A$6:$B$13,2,0)</f>
        <v>0</v>
      </c>
      <c r="O36" s="92" t="str">
        <f ca="1">'SVS GrundRG'!$H$61</f>
        <v/>
      </c>
      <c r="P36" s="87">
        <f t="shared" si="8"/>
        <v>0</v>
      </c>
      <c r="Q36" s="87">
        <f t="shared" si="9"/>
        <v>0</v>
      </c>
      <c r="R36" s="87">
        <f t="shared" si="10"/>
        <v>0</v>
      </c>
      <c r="S36" s="87">
        <f t="shared" si="11"/>
        <v>0</v>
      </c>
    </row>
    <row r="37" spans="1:19" ht="21" x14ac:dyDescent="0.25">
      <c r="A37" s="62">
        <v>34</v>
      </c>
      <c r="B37" s="89" t="s">
        <v>279</v>
      </c>
      <c r="C37" s="89" t="s">
        <v>196</v>
      </c>
      <c r="D37" s="89" t="s">
        <v>226</v>
      </c>
      <c r="E37" s="62" t="s">
        <v>361</v>
      </c>
      <c r="F37" s="62" t="s">
        <v>227</v>
      </c>
      <c r="G37" s="106">
        <v>46.74</v>
      </c>
      <c r="H37" s="87"/>
      <c r="I37" s="87"/>
      <c r="J37" s="89" t="s">
        <v>170</v>
      </c>
      <c r="K37" s="90" t="s">
        <v>219</v>
      </c>
      <c r="L37" s="87">
        <f>VLOOKUP(K37,Reinigungstage!$A$10:$I$31,9,FALSE)</f>
        <v>1</v>
      </c>
      <c r="M37" s="87">
        <f t="shared" si="7"/>
        <v>46.74</v>
      </c>
      <c r="N37" s="91">
        <f>VLOOKUP(J37,'Lei Grund TH OS Nossen'!$A$6:$B$13,2,0)</f>
        <v>0</v>
      </c>
      <c r="O37" s="92" t="str">
        <f ca="1">'SVS GrundRG'!$H$61</f>
        <v/>
      </c>
      <c r="P37" s="87">
        <f t="shared" si="8"/>
        <v>0</v>
      </c>
      <c r="Q37" s="87">
        <f t="shared" si="9"/>
        <v>0</v>
      </c>
      <c r="R37" s="87">
        <f t="shared" si="10"/>
        <v>0</v>
      </c>
      <c r="S37" s="87">
        <f t="shared" si="11"/>
        <v>0</v>
      </c>
    </row>
    <row r="38" spans="1:19" x14ac:dyDescent="0.25">
      <c r="A38" s="62">
        <v>35</v>
      </c>
      <c r="B38" s="89" t="s">
        <v>278</v>
      </c>
      <c r="C38" s="89" t="s">
        <v>196</v>
      </c>
      <c r="D38" s="89" t="s">
        <v>226</v>
      </c>
      <c r="E38" s="62" t="s">
        <v>362</v>
      </c>
      <c r="F38" s="62" t="s">
        <v>200</v>
      </c>
      <c r="G38" s="106">
        <v>18.09</v>
      </c>
      <c r="H38" s="87"/>
      <c r="I38" s="87"/>
      <c r="J38" s="89" t="s">
        <v>170</v>
      </c>
      <c r="K38" s="90" t="s">
        <v>219</v>
      </c>
      <c r="L38" s="87">
        <f>VLOOKUP(K38,Reinigungstage!$A$10:$I$31,9,FALSE)</f>
        <v>1</v>
      </c>
      <c r="M38" s="87">
        <f t="shared" si="7"/>
        <v>18.09</v>
      </c>
      <c r="N38" s="91">
        <f>VLOOKUP(J38,'Lei Grund TH OS Nossen'!$A$6:$B$13,2,0)</f>
        <v>0</v>
      </c>
      <c r="O38" s="92" t="str">
        <f ca="1">'SVS GrundRG'!$H$61</f>
        <v/>
      </c>
      <c r="P38" s="87">
        <f t="shared" si="8"/>
        <v>0</v>
      </c>
      <c r="Q38" s="87">
        <f t="shared" si="9"/>
        <v>0</v>
      </c>
      <c r="R38" s="87">
        <f t="shared" si="10"/>
        <v>0</v>
      </c>
      <c r="S38" s="87">
        <f t="shared" si="11"/>
        <v>0</v>
      </c>
    </row>
    <row r="39" spans="1:19" ht="21" x14ac:dyDescent="0.25">
      <c r="A39" s="62">
        <v>36</v>
      </c>
      <c r="B39" s="89" t="s">
        <v>411</v>
      </c>
      <c r="C39" s="89" t="s">
        <v>196</v>
      </c>
      <c r="D39" s="89" t="s">
        <v>226</v>
      </c>
      <c r="E39" s="62" t="s">
        <v>410</v>
      </c>
      <c r="F39" s="62" t="s">
        <v>227</v>
      </c>
      <c r="G39" s="109">
        <v>968</v>
      </c>
      <c r="H39" s="87"/>
      <c r="I39" s="87"/>
      <c r="J39" s="89" t="s">
        <v>409</v>
      </c>
      <c r="K39" s="90" t="s">
        <v>219</v>
      </c>
      <c r="L39" s="87">
        <f>VLOOKUP(K39,Reinigungstage!$A$10:$I$31,9,FALSE)</f>
        <v>1</v>
      </c>
      <c r="M39" s="87">
        <f t="shared" ref="M39" si="12">ROUND(IF(L39=0,0,L39*G39),2)</f>
        <v>968</v>
      </c>
      <c r="N39" s="91">
        <f>VLOOKUP(J39,'Lei Grund TH OS Nossen'!$A$6:$B$13,2,0)</f>
        <v>0</v>
      </c>
      <c r="O39" s="92" t="str">
        <f ca="1">'SVS GrundRG'!$H$61</f>
        <v/>
      </c>
      <c r="P39" s="87">
        <f t="shared" ref="P39" si="13">ROUND(IF(N39=0,0,M39/N39),2)</f>
        <v>0</v>
      </c>
      <c r="Q39" s="87">
        <f t="shared" ref="Q39" si="14">ROUND(IF(P39=0,0,P39*O39),2)</f>
        <v>0</v>
      </c>
      <c r="R39" s="87">
        <f t="shared" ref="R39" si="15">ROUND(IF(P39=0,0,P39/L39),2)</f>
        <v>0</v>
      </c>
      <c r="S39" s="87">
        <f t="shared" ref="S39" si="16">ROUND(IF(Q39=0,0,Q39/L39),2)</f>
        <v>0</v>
      </c>
    </row>
  </sheetData>
  <sheetProtection algorithmName="SHA-512" hashValue="uNCJx7+/lBbAJJfb+PSwVdJ66Shc4/FtIDyoSAMHj4SyKob2kYYXZ99PAbZEk9jFE1ZQLKVQKOXsvIbQ+UfKHA==" saltValue="bFCvF/GMZgsP3NAbjyKVqQ==" spinCount="100000" sheet="1" objects="1" scenarios="1" formatCells="0" formatColumns="0" formatRows="0" insertColumns="0" insertRows="0" insertHyperlinks="0" deleteColumns="0" deleteRows="0"/>
  <phoneticPr fontId="20" type="noConversion"/>
  <hyperlinks>
    <hyperlink ref="M1" location="Inhaltsverzeichnis!A1" display="Zurück zum Inhaltsverzeichnis" xr:uid="{B19B1B5D-03C5-4729-895B-CF87EF9E64DB}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3684D-CE94-4144-8406-8CDE89EAC392}">
  <dimension ref="A1:H9"/>
  <sheetViews>
    <sheetView workbookViewId="0">
      <selection activeCell="C6" sqref="C6:C9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161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162</v>
      </c>
      <c r="B3" s="76" t="s">
        <v>414</v>
      </c>
      <c r="C3" s="76"/>
      <c r="D3" s="14"/>
      <c r="E3" s="14"/>
      <c r="F3" s="14"/>
      <c r="G3" s="14"/>
      <c r="H3" s="14"/>
    </row>
    <row r="4" spans="1:8" ht="51" customHeight="1" x14ac:dyDescent="0.25">
      <c r="A4" s="130" t="s">
        <v>163</v>
      </c>
      <c r="B4" s="130"/>
      <c r="C4" s="130"/>
      <c r="D4" s="14"/>
      <c r="E4" s="14"/>
      <c r="F4" s="14"/>
      <c r="G4" s="14"/>
      <c r="H4" s="14"/>
    </row>
    <row r="5" spans="1:8" x14ac:dyDescent="0.25">
      <c r="A5" s="77" t="s">
        <v>164</v>
      </c>
      <c r="B5" s="77" t="s">
        <v>165</v>
      </c>
      <c r="C5" s="77" t="s">
        <v>166</v>
      </c>
      <c r="D5" s="14"/>
      <c r="E5" s="14"/>
      <c r="F5" s="14"/>
      <c r="G5" s="14"/>
      <c r="H5" s="14"/>
    </row>
    <row r="6" spans="1:8" x14ac:dyDescent="0.25">
      <c r="A6" s="78" t="s">
        <v>168</v>
      </c>
      <c r="B6" s="79"/>
      <c r="C6" s="80">
        <f ca="1">SUMIF('Kal Grund GTA OS Nossen'!J6:M51,$A$6,'Kal Grund GTA OS Nossen'!M6:M51)</f>
        <v>90.75</v>
      </c>
      <c r="D6" s="14"/>
      <c r="E6" s="14"/>
      <c r="F6" s="14"/>
      <c r="G6" s="14"/>
      <c r="H6" s="14"/>
    </row>
    <row r="7" spans="1:8" x14ac:dyDescent="0.25">
      <c r="A7" s="81" t="s">
        <v>169</v>
      </c>
      <c r="B7" s="79"/>
      <c r="C7" s="80">
        <f ca="1">SUMIF('Kal Grund GTA OS Nossen'!J6:M51,$A$7,'Kal Grund GTA OS Nossen'!M6:M51)</f>
        <v>6.81</v>
      </c>
      <c r="D7" s="14"/>
      <c r="E7" s="14"/>
      <c r="F7" s="14"/>
      <c r="G7" s="14"/>
      <c r="H7" s="14"/>
    </row>
    <row r="8" spans="1:8" x14ac:dyDescent="0.25">
      <c r="A8" s="81" t="s">
        <v>174</v>
      </c>
      <c r="B8" s="79"/>
      <c r="C8" s="80">
        <f ca="1">SUMIF('Kal Grund GTA OS Nossen'!J6:M51,$A$8,'Kal Grund GTA OS Nossen'!M6:M51)</f>
        <v>2.02</v>
      </c>
      <c r="D8" s="14"/>
      <c r="E8" s="14"/>
      <c r="F8" s="14"/>
      <c r="G8" s="14"/>
      <c r="H8" s="14"/>
    </row>
    <row r="9" spans="1:8" x14ac:dyDescent="0.25">
      <c r="A9" s="81" t="s">
        <v>170</v>
      </c>
      <c r="B9" s="79"/>
      <c r="C9" s="80">
        <f ca="1">SUMIF('Kal Grund GTA OS Nossen'!J6:M51,$A$9,'Kal Grund GTA OS Nossen'!M6:M51)</f>
        <v>7.39</v>
      </c>
      <c r="D9" s="14"/>
      <c r="E9" s="14"/>
      <c r="F9" s="14"/>
      <c r="G9" s="14"/>
      <c r="H9" s="14"/>
    </row>
  </sheetData>
  <sheetProtection algorithmName="SHA-512" hashValue="XBmK71+SX+LRRXVCR7kKIRydz62uw9A4rCyYRz6WX1iXCH7q3Gyhs6WI83AE0AGQkVkSgOTncBIlYUYH8bNegA==" saltValue="+D/JU8+VplXSDbwHsx0YhA==" spinCount="100000" sheet="1" objects="1" scenarios="1" formatCells="0" formatColumns="0" formatRows="0" insertColumns="0" insertRows="0" insertHyperlinks="0" deleteColumns="0" deleteRows="0"/>
  <protectedRanges>
    <protectedRange sqref="B6:B9" name="Bereich1"/>
  </protectedRanges>
  <mergeCells count="1">
    <mergeCell ref="A4:C4"/>
  </mergeCells>
  <hyperlinks>
    <hyperlink ref="C1" location="Inhaltsverzeichnis!A1" display="Zurück zum Inhaltsverzeichnis" xr:uid="{78AB6F85-E9FC-4365-9CE0-F21660908854}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1DC7-61AA-4346-B7BD-DFCE020BC3D9}">
  <dimension ref="A1:S11"/>
  <sheetViews>
    <sheetView workbookViewId="0">
      <selection activeCell="O10" sqref="O10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162</v>
      </c>
      <c r="B3" s="14" t="s">
        <v>414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177</v>
      </c>
      <c r="B4" s="77" t="s">
        <v>178</v>
      </c>
      <c r="C4" s="84" t="s">
        <v>179</v>
      </c>
      <c r="D4" s="84" t="s">
        <v>180</v>
      </c>
      <c r="E4" s="77" t="s">
        <v>181</v>
      </c>
      <c r="F4" s="84" t="s">
        <v>182</v>
      </c>
      <c r="G4" s="77" t="s">
        <v>183</v>
      </c>
      <c r="H4" s="77" t="s">
        <v>184</v>
      </c>
      <c r="I4" s="77" t="s">
        <v>185</v>
      </c>
      <c r="J4" s="77" t="s">
        <v>186</v>
      </c>
      <c r="K4" s="77" t="s">
        <v>187</v>
      </c>
      <c r="L4" s="77" t="s">
        <v>222</v>
      </c>
      <c r="M4" s="77" t="s">
        <v>188</v>
      </c>
      <c r="N4" s="77" t="s">
        <v>189</v>
      </c>
      <c r="O4" s="77" t="s">
        <v>190</v>
      </c>
      <c r="P4" s="77" t="s">
        <v>191</v>
      </c>
      <c r="Q4" s="77" t="s">
        <v>192</v>
      </c>
      <c r="R4" s="77" t="s">
        <v>193</v>
      </c>
      <c r="S4" s="77" t="s">
        <v>194</v>
      </c>
    </row>
    <row r="5" spans="1:19" x14ac:dyDescent="0.25">
      <c r="A5" s="85" t="s">
        <v>195</v>
      </c>
      <c r="B5" s="62"/>
      <c r="C5" s="62"/>
      <c r="D5" s="62"/>
      <c r="E5" s="62"/>
      <c r="F5" s="62"/>
      <c r="G5" s="86">
        <f>SUM(G6:G11)</f>
        <v>106.97</v>
      </c>
      <c r="H5" s="86">
        <f t="shared" ref="H5:I5" si="0">SUM(H6:H11)</f>
        <v>0</v>
      </c>
      <c r="I5" s="86">
        <f t="shared" si="0"/>
        <v>1</v>
      </c>
      <c r="J5" s="87"/>
      <c r="K5" s="87"/>
      <c r="L5" s="88">
        <f>MAX(L6:L11)</f>
        <v>1</v>
      </c>
      <c r="M5" s="86">
        <f>SUM(M6:M11)</f>
        <v>106.97</v>
      </c>
      <c r="N5" s="87"/>
      <c r="O5" s="87"/>
      <c r="P5" s="86">
        <f>SUM(P6:P11)</f>
        <v>0</v>
      </c>
      <c r="Q5" s="86">
        <f t="shared" ref="Q5:S5" si="1">SUM(Q6:Q11)</f>
        <v>0</v>
      </c>
      <c r="R5" s="86">
        <f t="shared" si="1"/>
        <v>0</v>
      </c>
      <c r="S5" s="86">
        <f t="shared" si="1"/>
        <v>0</v>
      </c>
    </row>
    <row r="6" spans="1:19" x14ac:dyDescent="0.25">
      <c r="A6" s="62">
        <v>1</v>
      </c>
      <c r="B6" s="93">
        <v>1</v>
      </c>
      <c r="C6" s="89" t="s">
        <v>196</v>
      </c>
      <c r="D6" s="89" t="s">
        <v>372</v>
      </c>
      <c r="E6" s="62" t="s">
        <v>373</v>
      </c>
      <c r="F6" s="62" t="s">
        <v>200</v>
      </c>
      <c r="G6" s="87">
        <v>42.03</v>
      </c>
      <c r="H6" s="87"/>
      <c r="I6" s="87">
        <v>1</v>
      </c>
      <c r="J6" s="89" t="s">
        <v>168</v>
      </c>
      <c r="K6" s="90" t="s">
        <v>219</v>
      </c>
      <c r="L6" s="87">
        <f>VLOOKUP(K6,Reinigungstage!$A$10:$J$31,10,FALSE)</f>
        <v>1</v>
      </c>
      <c r="M6" s="87">
        <f t="shared" ref="M6:M11" si="2">ROUND(IF(L6=0,0,L6*G6),2)</f>
        <v>42.03</v>
      </c>
      <c r="N6" s="91">
        <f>VLOOKUP(J6,'Lei Grund GTA OS Nossen'!$A$6:$B$11,2,0)</f>
        <v>0</v>
      </c>
      <c r="O6" s="92" t="str">
        <f ca="1">'SVS GrundRG'!$H$61</f>
        <v/>
      </c>
      <c r="P6" s="87">
        <f t="shared" ref="P6:P11" si="3">ROUND(IF(N6=0,0,M6/N6),2)</f>
        <v>0</v>
      </c>
      <c r="Q6" s="87">
        <f t="shared" ref="Q6:Q11" si="4">ROUND(IF(P6=0,0,P6*O6),2)</f>
        <v>0</v>
      </c>
      <c r="R6" s="87">
        <f t="shared" ref="R6:R11" si="5">ROUND(IF(P6=0,0,P6/L6),2)</f>
        <v>0</v>
      </c>
      <c r="S6" s="87">
        <f t="shared" ref="S6:S11" si="6">ROUND(IF(Q6=0,0,Q6/L6),2)</f>
        <v>0</v>
      </c>
    </row>
    <row r="7" spans="1:19" x14ac:dyDescent="0.25">
      <c r="A7" s="62">
        <v>2</v>
      </c>
      <c r="B7" s="93">
        <v>2</v>
      </c>
      <c r="C7" s="89" t="s">
        <v>196</v>
      </c>
      <c r="D7" s="89" t="s">
        <v>372</v>
      </c>
      <c r="E7" s="62" t="s">
        <v>374</v>
      </c>
      <c r="F7" s="62" t="s">
        <v>200</v>
      </c>
      <c r="G7" s="87">
        <v>48.72</v>
      </c>
      <c r="H7" s="87"/>
      <c r="I7" s="87"/>
      <c r="J7" s="89" t="s">
        <v>168</v>
      </c>
      <c r="K7" s="90" t="s">
        <v>219</v>
      </c>
      <c r="L7" s="87">
        <f>VLOOKUP(K7,Reinigungstage!$A$10:$J$31,10,FALSE)</f>
        <v>1</v>
      </c>
      <c r="M7" s="87">
        <f t="shared" si="2"/>
        <v>48.72</v>
      </c>
      <c r="N7" s="91">
        <f>VLOOKUP(J7,'Lei Grund GTA OS Nossen'!$A$6:$B$11,2,0)</f>
        <v>0</v>
      </c>
      <c r="O7" s="92" t="str">
        <f ca="1">'SVS GrundRG'!$H$61</f>
        <v/>
      </c>
      <c r="P7" s="87">
        <f t="shared" si="3"/>
        <v>0</v>
      </c>
      <c r="Q7" s="87">
        <f t="shared" si="4"/>
        <v>0</v>
      </c>
      <c r="R7" s="87">
        <f t="shared" si="5"/>
        <v>0</v>
      </c>
      <c r="S7" s="87">
        <f t="shared" si="6"/>
        <v>0</v>
      </c>
    </row>
    <row r="8" spans="1:19" x14ac:dyDescent="0.25">
      <c r="A8" s="62">
        <v>3</v>
      </c>
      <c r="B8" s="93">
        <v>3</v>
      </c>
      <c r="C8" s="89" t="s">
        <v>196</v>
      </c>
      <c r="D8" s="89" t="s">
        <v>372</v>
      </c>
      <c r="E8" s="62" t="s">
        <v>375</v>
      </c>
      <c r="F8" s="62" t="s">
        <v>200</v>
      </c>
      <c r="G8" s="106">
        <v>2.54</v>
      </c>
      <c r="H8" s="87"/>
      <c r="I8" s="87"/>
      <c r="J8" s="89" t="s">
        <v>169</v>
      </c>
      <c r="K8" s="90" t="s">
        <v>219</v>
      </c>
      <c r="L8" s="87">
        <f>VLOOKUP(K8,Reinigungstage!$A$10:$J$31,10,FALSE)</f>
        <v>1</v>
      </c>
      <c r="M8" s="87">
        <f t="shared" si="2"/>
        <v>2.54</v>
      </c>
      <c r="N8" s="91">
        <f>VLOOKUP(J8,'Lei Grund GTA OS Nossen'!$A$6:$B$11,2,0)</f>
        <v>0</v>
      </c>
      <c r="O8" s="92" t="str">
        <f ca="1">'SVS GrundRG'!$H$61</f>
        <v/>
      </c>
      <c r="P8" s="87">
        <f t="shared" si="3"/>
        <v>0</v>
      </c>
      <c r="Q8" s="87">
        <f t="shared" si="4"/>
        <v>0</v>
      </c>
      <c r="R8" s="87">
        <f t="shared" si="5"/>
        <v>0</v>
      </c>
      <c r="S8" s="87">
        <f t="shared" si="6"/>
        <v>0</v>
      </c>
    </row>
    <row r="9" spans="1:19" x14ac:dyDescent="0.25">
      <c r="A9" s="62">
        <v>4</v>
      </c>
      <c r="B9" s="93">
        <v>4</v>
      </c>
      <c r="C9" s="89" t="s">
        <v>196</v>
      </c>
      <c r="D9" s="89" t="s">
        <v>372</v>
      </c>
      <c r="E9" s="62" t="s">
        <v>376</v>
      </c>
      <c r="F9" s="62" t="s">
        <v>200</v>
      </c>
      <c r="G9" s="106">
        <v>2.02</v>
      </c>
      <c r="H9" s="87"/>
      <c r="I9" s="87"/>
      <c r="J9" s="89" t="s">
        <v>174</v>
      </c>
      <c r="K9" s="90" t="s">
        <v>219</v>
      </c>
      <c r="L9" s="87">
        <f>VLOOKUP(K9,Reinigungstage!$A$10:$J$31,10,FALSE)</f>
        <v>1</v>
      </c>
      <c r="M9" s="87">
        <f t="shared" si="2"/>
        <v>2.02</v>
      </c>
      <c r="N9" s="91">
        <f>VLOOKUP(J9,'Lei Grund GTA OS Nossen'!$A$6:$B$11,2,0)</f>
        <v>0</v>
      </c>
      <c r="O9" s="92" t="str">
        <f ca="1">'SVS GrundRG'!$H$61</f>
        <v/>
      </c>
      <c r="P9" s="87">
        <f t="shared" si="3"/>
        <v>0</v>
      </c>
      <c r="Q9" s="87">
        <f t="shared" si="4"/>
        <v>0</v>
      </c>
      <c r="R9" s="87">
        <f t="shared" si="5"/>
        <v>0</v>
      </c>
      <c r="S9" s="87">
        <f t="shared" si="6"/>
        <v>0</v>
      </c>
    </row>
    <row r="10" spans="1:19" x14ac:dyDescent="0.25">
      <c r="A10" s="62">
        <v>5</v>
      </c>
      <c r="B10" s="93">
        <v>5</v>
      </c>
      <c r="C10" s="89" t="s">
        <v>196</v>
      </c>
      <c r="D10" s="89" t="s">
        <v>372</v>
      </c>
      <c r="E10" s="62" t="s">
        <v>377</v>
      </c>
      <c r="F10" s="62" t="s">
        <v>200</v>
      </c>
      <c r="G10" s="106">
        <v>4.2699999999999996</v>
      </c>
      <c r="H10" s="87"/>
      <c r="I10" s="87"/>
      <c r="J10" s="89" t="s">
        <v>169</v>
      </c>
      <c r="K10" s="90" t="s">
        <v>219</v>
      </c>
      <c r="L10" s="87">
        <f>VLOOKUP(K10,Reinigungstage!$A$10:$J$31,10,FALSE)</f>
        <v>1</v>
      </c>
      <c r="M10" s="87">
        <f t="shared" si="2"/>
        <v>4.2699999999999996</v>
      </c>
      <c r="N10" s="91">
        <f>VLOOKUP(J10,'Lei Grund GTA OS Nossen'!$A$6:$B$11,2,0)</f>
        <v>0</v>
      </c>
      <c r="O10" s="92" t="str">
        <f ca="1">'SVS GrundRG'!$H$61</f>
        <v/>
      </c>
      <c r="P10" s="87">
        <f t="shared" si="3"/>
        <v>0</v>
      </c>
      <c r="Q10" s="87">
        <f t="shared" si="4"/>
        <v>0</v>
      </c>
      <c r="R10" s="87">
        <f t="shared" si="5"/>
        <v>0</v>
      </c>
      <c r="S10" s="87">
        <f t="shared" si="6"/>
        <v>0</v>
      </c>
    </row>
    <row r="11" spans="1:19" x14ac:dyDescent="0.25">
      <c r="A11" s="62">
        <v>6</v>
      </c>
      <c r="B11" s="93">
        <v>6</v>
      </c>
      <c r="C11" s="89" t="s">
        <v>196</v>
      </c>
      <c r="D11" s="89" t="s">
        <v>372</v>
      </c>
      <c r="E11" s="62" t="s">
        <v>378</v>
      </c>
      <c r="F11" s="62" t="s">
        <v>200</v>
      </c>
      <c r="G11" s="106">
        <v>7.39</v>
      </c>
      <c r="H11" s="87"/>
      <c r="I11" s="87"/>
      <c r="J11" s="89" t="s">
        <v>170</v>
      </c>
      <c r="K11" s="90" t="s">
        <v>219</v>
      </c>
      <c r="L11" s="87">
        <f>VLOOKUP(K11,Reinigungstage!$A$10:$J$31,10,FALSE)</f>
        <v>1</v>
      </c>
      <c r="M11" s="87">
        <f t="shared" si="2"/>
        <v>7.39</v>
      </c>
      <c r="N11" s="91">
        <f>VLOOKUP(J11,'Lei Grund GTA OS Nossen'!$A$6:$B$11,2,0)</f>
        <v>0</v>
      </c>
      <c r="O11" s="92" t="str">
        <f ca="1">'SVS GrundRG'!$H$61</f>
        <v/>
      </c>
      <c r="P11" s="87">
        <f t="shared" si="3"/>
        <v>0</v>
      </c>
      <c r="Q11" s="87">
        <f t="shared" si="4"/>
        <v>0</v>
      </c>
      <c r="R11" s="87">
        <f t="shared" si="5"/>
        <v>0</v>
      </c>
      <c r="S11" s="87">
        <f t="shared" si="6"/>
        <v>0</v>
      </c>
    </row>
  </sheetData>
  <sheetProtection algorithmName="SHA-512" hashValue="2rCZhV9p/ZRLyMDcId3+Hajz3BQgY6dMLUVzhNKSDU3sRGpt2wh55JDdmJyIWS+hRmL8sb1f7Tqdr0KJPgBtfA==" saltValue="S5u4pp8+dHoQwcykVgBmAw==" spinCount="100000" sheet="1" objects="1" scenarios="1" formatCells="0" formatColumns="0" formatRows="0" insertColumns="0" insertRows="0" insertHyperlinks="0" deleteColumns="0" deleteRows="0"/>
  <phoneticPr fontId="20" type="noConversion"/>
  <hyperlinks>
    <hyperlink ref="M1" location="Inhaltsverzeichnis!A1" display="Zurück zum Inhaltsverzeichnis" xr:uid="{ABDA5D1C-89ED-4CDD-97A3-7AB718DDA55B}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E3971-A308-4C4A-BC82-311FBA3D3334}">
  <dimension ref="A1:J32"/>
  <sheetViews>
    <sheetView workbookViewId="0">
      <selection activeCell="F1" sqref="F1"/>
    </sheetView>
  </sheetViews>
  <sheetFormatPr baseColWidth="10" defaultRowHeight="15" x14ac:dyDescent="0.25"/>
  <cols>
    <col min="1" max="1" width="32.7109375" bestFit="1" customWidth="1"/>
    <col min="2" max="2" width="13.42578125" customWidth="1"/>
    <col min="4" max="4" width="13.140625" customWidth="1"/>
    <col min="6" max="6" width="12.42578125" customWidth="1"/>
    <col min="8" max="8" width="12.140625" customWidth="1"/>
    <col min="9" max="9" width="11.85546875" customWidth="1"/>
    <col min="10" max="10" width="12.28515625" customWidth="1"/>
  </cols>
  <sheetData>
    <row r="1" spans="1:10" x14ac:dyDescent="0.25">
      <c r="A1" s="14" t="s">
        <v>205</v>
      </c>
      <c r="B1" s="95"/>
      <c r="C1" s="94"/>
      <c r="D1" s="96"/>
      <c r="E1" s="94"/>
      <c r="F1" s="97" t="s">
        <v>19</v>
      </c>
      <c r="G1" s="94"/>
      <c r="H1" s="94"/>
      <c r="I1" s="94"/>
      <c r="J1" s="94"/>
    </row>
    <row r="2" spans="1:10" x14ac:dyDescent="0.25">
      <c r="A2" s="14" t="s">
        <v>20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5">
      <c r="A3" s="14"/>
      <c r="B3" s="94"/>
      <c r="C3" s="94"/>
      <c r="D3" s="94"/>
      <c r="E3" s="94"/>
      <c r="F3" s="94"/>
      <c r="G3" s="94"/>
      <c r="H3" s="94"/>
      <c r="I3" s="94"/>
      <c r="J3" s="94"/>
    </row>
    <row r="4" spans="1:10" x14ac:dyDescent="0.25">
      <c r="A4" s="84" t="s">
        <v>206</v>
      </c>
      <c r="B4" s="84" t="s">
        <v>326</v>
      </c>
      <c r="C4" s="84" t="s">
        <v>326</v>
      </c>
      <c r="D4" s="84" t="s">
        <v>327</v>
      </c>
      <c r="E4" s="84" t="s">
        <v>327</v>
      </c>
      <c r="F4" s="84" t="s">
        <v>328</v>
      </c>
      <c r="G4" s="84" t="s">
        <v>328</v>
      </c>
      <c r="H4" s="84" t="s">
        <v>326</v>
      </c>
      <c r="I4" s="84" t="s">
        <v>327</v>
      </c>
      <c r="J4" s="84" t="s">
        <v>328</v>
      </c>
    </row>
    <row r="5" spans="1:10" x14ac:dyDescent="0.25">
      <c r="A5" s="84" t="s">
        <v>207</v>
      </c>
      <c r="B5" s="84" t="s">
        <v>208</v>
      </c>
      <c r="C5" s="84" t="s">
        <v>208</v>
      </c>
      <c r="D5" s="84" t="s">
        <v>230</v>
      </c>
      <c r="E5" s="84" t="s">
        <v>230</v>
      </c>
      <c r="F5" s="84" t="s">
        <v>208</v>
      </c>
      <c r="G5" s="84" t="s">
        <v>208</v>
      </c>
      <c r="H5" s="84" t="s">
        <v>208</v>
      </c>
      <c r="I5" s="84" t="s">
        <v>230</v>
      </c>
      <c r="J5" s="84" t="s">
        <v>208</v>
      </c>
    </row>
    <row r="6" spans="1:10" ht="21" x14ac:dyDescent="0.25">
      <c r="A6" s="84" t="s">
        <v>209</v>
      </c>
      <c r="B6" s="77" t="s">
        <v>22</v>
      </c>
      <c r="C6" s="77" t="s">
        <v>24</v>
      </c>
      <c r="D6" s="77" t="s">
        <v>22</v>
      </c>
      <c r="E6" s="77" t="s">
        <v>24</v>
      </c>
      <c r="F6" s="77" t="s">
        <v>22</v>
      </c>
      <c r="G6" s="77" t="s">
        <v>24</v>
      </c>
      <c r="H6" s="77" t="s">
        <v>23</v>
      </c>
      <c r="I6" s="77" t="s">
        <v>23</v>
      </c>
      <c r="J6" s="77" t="s">
        <v>23</v>
      </c>
    </row>
    <row r="7" spans="1:10" x14ac:dyDescent="0.25">
      <c r="A7" s="84" t="s">
        <v>210</v>
      </c>
      <c r="B7" s="61">
        <f>365-52-52-11-63</f>
        <v>187</v>
      </c>
      <c r="C7" s="61">
        <v>63</v>
      </c>
      <c r="D7" s="61">
        <v>187</v>
      </c>
      <c r="E7" s="61">
        <v>63</v>
      </c>
      <c r="F7" s="61">
        <v>187</v>
      </c>
      <c r="G7" s="61">
        <v>63</v>
      </c>
      <c r="H7" s="61">
        <v>1</v>
      </c>
      <c r="I7" s="61">
        <v>1</v>
      </c>
      <c r="J7" s="61">
        <v>1</v>
      </c>
    </row>
    <row r="8" spans="1:10" x14ac:dyDescent="0.25">
      <c r="A8" s="98"/>
      <c r="B8" s="61"/>
      <c r="C8" s="61"/>
      <c r="D8" s="61"/>
      <c r="E8" s="61"/>
      <c r="F8" s="61"/>
      <c r="G8" s="61"/>
      <c r="H8" s="61"/>
      <c r="I8" s="61"/>
      <c r="J8" s="61"/>
    </row>
    <row r="9" spans="1:10" ht="21" x14ac:dyDescent="0.25">
      <c r="A9" s="84" t="s">
        <v>211</v>
      </c>
      <c r="B9" s="77" t="s">
        <v>212</v>
      </c>
      <c r="C9" s="77" t="s">
        <v>212</v>
      </c>
      <c r="D9" s="77" t="s">
        <v>212</v>
      </c>
      <c r="E9" s="77" t="s">
        <v>212</v>
      </c>
      <c r="F9" s="77" t="s">
        <v>212</v>
      </c>
      <c r="G9" s="77" t="s">
        <v>212</v>
      </c>
      <c r="H9" s="77" t="s">
        <v>212</v>
      </c>
      <c r="I9" s="77" t="s">
        <v>212</v>
      </c>
      <c r="J9" s="77" t="s">
        <v>212</v>
      </c>
    </row>
    <row r="10" spans="1:10" x14ac:dyDescent="0.25">
      <c r="A10" s="99">
        <v>12</v>
      </c>
      <c r="B10" s="100">
        <f t="shared" ref="B10:B17" si="0">ROUND($B$7/5*A10,2)</f>
        <v>448.8</v>
      </c>
      <c r="C10" s="100">
        <f t="shared" ref="C10:C17" si="1">ROUND($C$7/5*A10,2)</f>
        <v>151.19999999999999</v>
      </c>
      <c r="D10" s="100">
        <f t="shared" ref="D10:D17" si="2">ROUND($D$7/5*A10,2)</f>
        <v>448.8</v>
      </c>
      <c r="E10" s="100">
        <f t="shared" ref="E10:E17" si="3">ROUND($E$7/5*A10,2)</f>
        <v>151.19999999999999</v>
      </c>
      <c r="F10" s="100">
        <f t="shared" ref="F10:F17" si="4">ROUND($F$7/5*A10,2)</f>
        <v>448.8</v>
      </c>
      <c r="G10" s="100">
        <f t="shared" ref="G10:G17" si="5">ROUND($G$7/5*A10,2)</f>
        <v>151.19999999999999</v>
      </c>
      <c r="H10" s="102"/>
      <c r="I10" s="102"/>
      <c r="J10" s="102"/>
    </row>
    <row r="11" spans="1:10" x14ac:dyDescent="0.25">
      <c r="A11" s="99">
        <v>10</v>
      </c>
      <c r="B11" s="100">
        <f t="shared" si="0"/>
        <v>374</v>
      </c>
      <c r="C11" s="100">
        <f t="shared" si="1"/>
        <v>126</v>
      </c>
      <c r="D11" s="100">
        <f t="shared" si="2"/>
        <v>374</v>
      </c>
      <c r="E11" s="100">
        <f t="shared" si="3"/>
        <v>126</v>
      </c>
      <c r="F11" s="100">
        <f t="shared" si="4"/>
        <v>374</v>
      </c>
      <c r="G11" s="100">
        <f t="shared" si="5"/>
        <v>126</v>
      </c>
      <c r="H11" s="102"/>
      <c r="I11" s="102"/>
      <c r="J11" s="102"/>
    </row>
    <row r="12" spans="1:10" x14ac:dyDescent="0.25">
      <c r="A12" s="99">
        <v>7</v>
      </c>
      <c r="B12" s="100">
        <f t="shared" si="0"/>
        <v>261.8</v>
      </c>
      <c r="C12" s="100">
        <f t="shared" si="1"/>
        <v>88.2</v>
      </c>
      <c r="D12" s="100">
        <f t="shared" si="2"/>
        <v>261.8</v>
      </c>
      <c r="E12" s="100">
        <f t="shared" si="3"/>
        <v>88.2</v>
      </c>
      <c r="F12" s="100">
        <f t="shared" si="4"/>
        <v>261.8</v>
      </c>
      <c r="G12" s="100">
        <f t="shared" si="5"/>
        <v>88.2</v>
      </c>
      <c r="H12" s="102"/>
      <c r="I12" s="102"/>
      <c r="J12" s="102"/>
    </row>
    <row r="13" spans="1:10" x14ac:dyDescent="0.25">
      <c r="A13" s="99">
        <v>6</v>
      </c>
      <c r="B13" s="100">
        <f t="shared" si="0"/>
        <v>224.4</v>
      </c>
      <c r="C13" s="100">
        <f t="shared" si="1"/>
        <v>75.599999999999994</v>
      </c>
      <c r="D13" s="100">
        <f t="shared" si="2"/>
        <v>224.4</v>
      </c>
      <c r="E13" s="100">
        <f t="shared" si="3"/>
        <v>75.599999999999994</v>
      </c>
      <c r="F13" s="100">
        <f t="shared" si="4"/>
        <v>224.4</v>
      </c>
      <c r="G13" s="100">
        <f t="shared" si="5"/>
        <v>75.599999999999994</v>
      </c>
      <c r="H13" s="102"/>
      <c r="I13" s="102"/>
      <c r="J13" s="102"/>
    </row>
    <row r="14" spans="1:10" x14ac:dyDescent="0.25">
      <c r="A14" s="99">
        <v>5</v>
      </c>
      <c r="B14" s="101">
        <f t="shared" si="0"/>
        <v>187</v>
      </c>
      <c r="C14" s="101">
        <f t="shared" si="1"/>
        <v>63</v>
      </c>
      <c r="D14" s="101">
        <f t="shared" si="2"/>
        <v>187</v>
      </c>
      <c r="E14" s="101">
        <f t="shared" si="3"/>
        <v>63</v>
      </c>
      <c r="F14" s="101">
        <f t="shared" si="4"/>
        <v>187</v>
      </c>
      <c r="G14" s="101">
        <f t="shared" si="5"/>
        <v>63</v>
      </c>
      <c r="H14" s="102"/>
      <c r="I14" s="102"/>
      <c r="J14" s="102"/>
    </row>
    <row r="15" spans="1:10" x14ac:dyDescent="0.25">
      <c r="A15" s="99">
        <v>4</v>
      </c>
      <c r="B15" s="100">
        <f t="shared" si="0"/>
        <v>149.6</v>
      </c>
      <c r="C15" s="100">
        <f t="shared" si="1"/>
        <v>50.4</v>
      </c>
      <c r="D15" s="100">
        <f t="shared" si="2"/>
        <v>149.6</v>
      </c>
      <c r="E15" s="100">
        <f t="shared" si="3"/>
        <v>50.4</v>
      </c>
      <c r="F15" s="100">
        <f t="shared" si="4"/>
        <v>149.6</v>
      </c>
      <c r="G15" s="100">
        <f t="shared" si="5"/>
        <v>50.4</v>
      </c>
      <c r="H15" s="102"/>
      <c r="I15" s="102"/>
      <c r="J15" s="102"/>
    </row>
    <row r="16" spans="1:10" x14ac:dyDescent="0.25">
      <c r="A16" s="99">
        <v>3</v>
      </c>
      <c r="B16" s="101">
        <f t="shared" si="0"/>
        <v>112.2</v>
      </c>
      <c r="C16" s="101">
        <f t="shared" si="1"/>
        <v>37.799999999999997</v>
      </c>
      <c r="D16" s="101">
        <f t="shared" si="2"/>
        <v>112.2</v>
      </c>
      <c r="E16" s="101">
        <f t="shared" si="3"/>
        <v>37.799999999999997</v>
      </c>
      <c r="F16" s="101">
        <f t="shared" si="4"/>
        <v>112.2</v>
      </c>
      <c r="G16" s="101">
        <f t="shared" si="5"/>
        <v>37.799999999999997</v>
      </c>
      <c r="H16" s="102"/>
      <c r="I16" s="102"/>
      <c r="J16" s="102"/>
    </row>
    <row r="17" spans="1:10" x14ac:dyDescent="0.25">
      <c r="A17" s="99">
        <v>2.5</v>
      </c>
      <c r="B17" s="101">
        <f t="shared" si="0"/>
        <v>93.5</v>
      </c>
      <c r="C17" s="101">
        <f t="shared" si="1"/>
        <v>31.5</v>
      </c>
      <c r="D17" s="101">
        <f t="shared" si="2"/>
        <v>93.5</v>
      </c>
      <c r="E17" s="101">
        <f t="shared" si="3"/>
        <v>31.5</v>
      </c>
      <c r="F17" s="101">
        <f t="shared" si="4"/>
        <v>93.5</v>
      </c>
      <c r="G17" s="101">
        <f t="shared" si="5"/>
        <v>31.5</v>
      </c>
      <c r="H17" s="102"/>
      <c r="I17" s="102"/>
      <c r="J17" s="102"/>
    </row>
    <row r="18" spans="1:10" x14ac:dyDescent="0.25">
      <c r="A18" s="99">
        <v>2</v>
      </c>
      <c r="B18" s="100">
        <f t="shared" ref="B18:F18" si="6">ROUND(B7*104.29/251,2)</f>
        <v>77.7</v>
      </c>
      <c r="C18" s="100">
        <f>ROUND(C7*104.29/251,2)</f>
        <v>26.18</v>
      </c>
      <c r="D18" s="100">
        <f t="shared" si="6"/>
        <v>77.7</v>
      </c>
      <c r="E18" s="100">
        <f>ROUND(E7*104.29/251,2)</f>
        <v>26.18</v>
      </c>
      <c r="F18" s="100">
        <f t="shared" si="6"/>
        <v>77.7</v>
      </c>
      <c r="G18" s="100">
        <f>ROUND(G7*104.29/251,2)</f>
        <v>26.18</v>
      </c>
      <c r="H18" s="102"/>
      <c r="I18" s="102"/>
      <c r="J18" s="102"/>
    </row>
    <row r="19" spans="1:10" x14ac:dyDescent="0.25">
      <c r="A19" s="99">
        <v>1</v>
      </c>
      <c r="B19" s="101">
        <f t="shared" ref="B19:F19" si="7">ROUND(B7*52.14/251,2)</f>
        <v>38.85</v>
      </c>
      <c r="C19" s="101">
        <f>ROUND(C7*52.14/251,2)</f>
        <v>13.09</v>
      </c>
      <c r="D19" s="101">
        <f t="shared" si="7"/>
        <v>38.85</v>
      </c>
      <c r="E19" s="101">
        <f>ROUND(E7*52.14/251,2)</f>
        <v>13.09</v>
      </c>
      <c r="F19" s="101">
        <f t="shared" si="7"/>
        <v>38.85</v>
      </c>
      <c r="G19" s="101">
        <f>ROUND(G7*52.14/251,2)</f>
        <v>13.09</v>
      </c>
      <c r="H19" s="102"/>
      <c r="I19" s="102"/>
      <c r="J19" s="102"/>
    </row>
    <row r="20" spans="1:10" x14ac:dyDescent="0.25">
      <c r="A20" s="99">
        <v>0.5</v>
      </c>
      <c r="B20" s="101">
        <f t="shared" ref="B20:F20" si="8">ROUND(B7*26.07/251,2)</f>
        <v>19.420000000000002</v>
      </c>
      <c r="C20" s="101">
        <f>ROUND(C7*26.07/251,2)</f>
        <v>6.54</v>
      </c>
      <c r="D20" s="101">
        <f t="shared" si="8"/>
        <v>19.420000000000002</v>
      </c>
      <c r="E20" s="101">
        <f>ROUND(E7*26.07/251,2)</f>
        <v>6.54</v>
      </c>
      <c r="F20" s="101">
        <f t="shared" si="8"/>
        <v>19.420000000000002</v>
      </c>
      <c r="G20" s="101">
        <f>ROUND(G7*26.07/251,2)</f>
        <v>6.54</v>
      </c>
      <c r="H20" s="102"/>
      <c r="I20" s="102"/>
      <c r="J20" s="102"/>
    </row>
    <row r="21" spans="1:10" x14ac:dyDescent="0.25">
      <c r="A21" s="99" t="s">
        <v>213</v>
      </c>
      <c r="B21" s="103">
        <f t="shared" ref="B21:J21" si="9">ROUND(11*2,2)</f>
        <v>22</v>
      </c>
      <c r="C21" s="103">
        <v>2</v>
      </c>
      <c r="D21" s="103">
        <f t="shared" si="9"/>
        <v>22</v>
      </c>
      <c r="E21" s="103">
        <v>2</v>
      </c>
      <c r="F21" s="103">
        <f t="shared" si="9"/>
        <v>22</v>
      </c>
      <c r="G21" s="103">
        <v>2</v>
      </c>
      <c r="H21" s="103">
        <f t="shared" si="9"/>
        <v>22</v>
      </c>
      <c r="I21" s="103">
        <f t="shared" si="9"/>
        <v>22</v>
      </c>
      <c r="J21" s="103">
        <f t="shared" si="9"/>
        <v>22</v>
      </c>
    </row>
    <row r="22" spans="1:10" x14ac:dyDescent="0.25">
      <c r="A22" s="99" t="s">
        <v>199</v>
      </c>
      <c r="B22" s="104">
        <f t="shared" ref="B22:J22" si="10">ROUND(11*1,2)</f>
        <v>11</v>
      </c>
      <c r="C22" s="103">
        <v>1</v>
      </c>
      <c r="D22" s="104">
        <f t="shared" si="10"/>
        <v>11</v>
      </c>
      <c r="E22" s="103">
        <v>1</v>
      </c>
      <c r="F22" s="104">
        <f t="shared" si="10"/>
        <v>11</v>
      </c>
      <c r="G22" s="103">
        <v>1</v>
      </c>
      <c r="H22" s="103">
        <f t="shared" si="10"/>
        <v>11</v>
      </c>
      <c r="I22" s="103">
        <f t="shared" si="10"/>
        <v>11</v>
      </c>
      <c r="J22" s="103">
        <f t="shared" si="10"/>
        <v>11</v>
      </c>
    </row>
    <row r="23" spans="1:10" x14ac:dyDescent="0.25">
      <c r="A23" s="99" t="s">
        <v>214</v>
      </c>
      <c r="B23" s="100">
        <v>6</v>
      </c>
      <c r="C23" s="100">
        <v>6</v>
      </c>
      <c r="D23" s="100">
        <v>6</v>
      </c>
      <c r="E23" s="100">
        <v>6</v>
      </c>
      <c r="F23" s="100">
        <v>6</v>
      </c>
      <c r="G23" s="102"/>
      <c r="H23" s="100">
        <v>6</v>
      </c>
      <c r="I23" s="100">
        <v>6</v>
      </c>
      <c r="J23" s="100">
        <v>6</v>
      </c>
    </row>
    <row r="24" spans="1:10" x14ac:dyDescent="0.25">
      <c r="A24" s="99" t="s">
        <v>215</v>
      </c>
      <c r="B24" s="100">
        <v>5</v>
      </c>
      <c r="C24" s="100">
        <v>5</v>
      </c>
      <c r="D24" s="100">
        <v>5</v>
      </c>
      <c r="E24" s="100">
        <v>5</v>
      </c>
      <c r="F24" s="100">
        <v>5</v>
      </c>
      <c r="G24" s="102"/>
      <c r="H24" s="100">
        <v>5</v>
      </c>
      <c r="I24" s="100">
        <v>5</v>
      </c>
      <c r="J24" s="100">
        <v>5</v>
      </c>
    </row>
    <row r="25" spans="1:10" x14ac:dyDescent="0.25">
      <c r="A25" s="99" t="s">
        <v>216</v>
      </c>
      <c r="B25" s="100">
        <v>4</v>
      </c>
      <c r="C25" s="101">
        <v>4</v>
      </c>
      <c r="D25" s="100">
        <v>4</v>
      </c>
      <c r="E25" s="101">
        <v>4</v>
      </c>
      <c r="F25" s="100">
        <v>4</v>
      </c>
      <c r="G25" s="102"/>
      <c r="H25" s="100">
        <v>4</v>
      </c>
      <c r="I25" s="100">
        <v>4</v>
      </c>
      <c r="J25" s="100">
        <v>4</v>
      </c>
    </row>
    <row r="26" spans="1:10" x14ac:dyDescent="0.25">
      <c r="A26" s="99" t="s">
        <v>217</v>
      </c>
      <c r="B26" s="100">
        <v>3</v>
      </c>
      <c r="C26" s="100">
        <v>3</v>
      </c>
      <c r="D26" s="100">
        <v>3</v>
      </c>
      <c r="E26" s="100">
        <v>3</v>
      </c>
      <c r="F26" s="100">
        <v>3</v>
      </c>
      <c r="G26" s="102"/>
      <c r="H26" s="100">
        <v>3</v>
      </c>
      <c r="I26" s="100">
        <v>3</v>
      </c>
      <c r="J26" s="100">
        <v>3</v>
      </c>
    </row>
    <row r="27" spans="1:10" x14ac:dyDescent="0.25">
      <c r="A27" s="99" t="s">
        <v>218</v>
      </c>
      <c r="B27" s="100">
        <v>2</v>
      </c>
      <c r="C27" s="101">
        <v>2</v>
      </c>
      <c r="D27" s="100">
        <v>2</v>
      </c>
      <c r="E27" s="101">
        <v>2</v>
      </c>
      <c r="F27" s="100">
        <v>2</v>
      </c>
      <c r="G27" s="102"/>
      <c r="H27" s="100">
        <v>2</v>
      </c>
      <c r="I27" s="100">
        <v>2</v>
      </c>
      <c r="J27" s="100">
        <v>2</v>
      </c>
    </row>
    <row r="28" spans="1:10" x14ac:dyDescent="0.25">
      <c r="A28" s="99" t="s">
        <v>219</v>
      </c>
      <c r="B28" s="100">
        <v>1</v>
      </c>
      <c r="C28" s="100">
        <v>1</v>
      </c>
      <c r="D28" s="100">
        <v>1</v>
      </c>
      <c r="E28" s="100">
        <v>1</v>
      </c>
      <c r="F28" s="100">
        <v>1</v>
      </c>
      <c r="G28" s="102"/>
      <c r="H28" s="101">
        <v>1</v>
      </c>
      <c r="I28" s="101">
        <v>1</v>
      </c>
      <c r="J28" s="101">
        <v>1</v>
      </c>
    </row>
    <row r="29" spans="1:10" x14ac:dyDescent="0.25">
      <c r="A29" s="101" t="s">
        <v>220</v>
      </c>
      <c r="B29" s="100">
        <v>0.5</v>
      </c>
      <c r="C29" s="100">
        <v>0.5</v>
      </c>
      <c r="D29" s="100">
        <v>0.5</v>
      </c>
      <c r="E29" s="100">
        <v>0.5</v>
      </c>
      <c r="F29" s="100">
        <v>0.5</v>
      </c>
      <c r="G29" s="102"/>
      <c r="H29" s="100">
        <v>0.5</v>
      </c>
      <c r="I29" s="100">
        <v>0.5</v>
      </c>
      <c r="J29" s="100">
        <v>0.5</v>
      </c>
    </row>
    <row r="30" spans="1:10" x14ac:dyDescent="0.25">
      <c r="A30" s="101">
        <v>0</v>
      </c>
      <c r="B30" s="101">
        <v>0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2"/>
      <c r="I30" s="102"/>
      <c r="J30" s="102"/>
    </row>
    <row r="31" spans="1:10" x14ac:dyDescent="0.25">
      <c r="A31" s="101" t="s">
        <v>221</v>
      </c>
      <c r="B31" s="101">
        <v>1</v>
      </c>
      <c r="C31" s="101">
        <v>1</v>
      </c>
      <c r="D31" s="101">
        <v>1</v>
      </c>
      <c r="E31" s="101">
        <v>1</v>
      </c>
      <c r="F31" s="101">
        <v>1</v>
      </c>
      <c r="G31" s="101">
        <v>1</v>
      </c>
      <c r="H31" s="100">
        <v>1</v>
      </c>
      <c r="I31" s="100">
        <v>1</v>
      </c>
      <c r="J31" s="100">
        <v>1</v>
      </c>
    </row>
    <row r="32" spans="1:10" x14ac:dyDescent="0.25">
      <c r="A32" s="51"/>
      <c r="B32" s="94"/>
      <c r="C32" s="94"/>
      <c r="D32" s="94"/>
      <c r="E32" s="94"/>
      <c r="F32" s="94"/>
      <c r="G32" s="94"/>
      <c r="H32" s="94"/>
      <c r="I32" s="94"/>
      <c r="J32" s="94"/>
    </row>
  </sheetData>
  <sheetProtection algorithmName="SHA-512" hashValue="Rc/eIxQ6TXIQR8ExkU691+0DflptK8HY3t04Z13FO5AVlDY6h+LV+WuVnTs4OyrWJNHe0bs9mqCpNrpJ+eWQCA==" saltValue="VFs0svnbrrLe6EUmPHE+/Q==" spinCount="100000" sheet="1" objects="1" scenarios="1" formatCells="0" formatColumns="0" formatRows="0" insertColumns="0" insertRows="0" insertHyperlinks="0" deleteColumns="0" deleteRows="0"/>
  <dataValidations disablePrompts="1" count="2">
    <dataValidation type="textLength" operator="equal" allowBlank="1" showInputMessage="1" showErrorMessage="1" prompt="Reinigung erfolgt 2 Mal monatlich." sqref="A21" xr:uid="{EECF281B-4549-4BB4-B10F-82C5C21CB683}">
      <formula1>2</formula1>
    </dataValidation>
    <dataValidation type="textLength" operator="equal" allowBlank="1" showInputMessage="1" showErrorMessage="1" prompt="Reinigung erfolgt 1 Mal monatlich." sqref="A22" xr:uid="{AF09C020-4E28-48A0-ABF0-CE0D0CAAE528}">
      <formula1>2</formula1>
    </dataValidation>
  </dataValidations>
  <hyperlinks>
    <hyperlink ref="F1" location="Inhaltsverzeichnis!A1" display="Zurück zum Inhaltsverzeichnis" xr:uid="{EED989B5-EFF0-4871-8FFB-C03E873E8365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0BE55-AE12-4580-85BE-FD5CD4209A92}">
  <sheetPr>
    <pageSetUpPr fitToPage="1"/>
  </sheetPr>
  <dimension ref="A1:H9"/>
  <sheetViews>
    <sheetView workbookViewId="0">
      <selection activeCell="C8" sqref="C8"/>
    </sheetView>
  </sheetViews>
  <sheetFormatPr baseColWidth="10" defaultRowHeight="15" x14ac:dyDescent="0.25"/>
  <cols>
    <col min="1" max="1" width="33.140625" customWidth="1"/>
    <col min="3" max="3" width="14.140625" customWidth="1"/>
    <col min="6" max="6" width="13.85546875" customWidth="1"/>
    <col min="7" max="7" width="14.85546875" customWidth="1"/>
    <col min="8" max="8" width="16.140625" customWidth="1"/>
  </cols>
  <sheetData>
    <row r="1" spans="1:8" x14ac:dyDescent="0.25">
      <c r="A1" s="5" t="s">
        <v>18</v>
      </c>
      <c r="B1" s="6"/>
      <c r="C1" s="7" t="s">
        <v>19</v>
      </c>
      <c r="D1" s="6"/>
      <c r="F1" s="6"/>
      <c r="G1" s="6"/>
      <c r="H1" s="6"/>
    </row>
    <row r="2" spans="1:8" x14ac:dyDescent="0.25">
      <c r="A2" s="5"/>
      <c r="B2" s="5"/>
      <c r="C2" s="5"/>
      <c r="D2" s="5"/>
      <c r="E2" s="5"/>
      <c r="F2" s="5"/>
      <c r="G2" s="5"/>
      <c r="H2" s="5"/>
    </row>
    <row r="3" spans="1:8" x14ac:dyDescent="0.25">
      <c r="A3" s="8" t="s">
        <v>20</v>
      </c>
      <c r="B3" s="1" t="str">
        <f>IF(Inhaltsverzeichnis!B2="", "",Inhaltsverzeichnis!B2)</f>
        <v/>
      </c>
      <c r="C3" s="5"/>
      <c r="D3" s="5"/>
      <c r="E3" s="5"/>
      <c r="F3" s="5"/>
      <c r="G3" s="5"/>
      <c r="H3" s="5"/>
    </row>
    <row r="4" spans="1:8" ht="25.5" x14ac:dyDescent="0.25">
      <c r="A4" s="117" t="s">
        <v>21</v>
      </c>
      <c r="B4" s="118"/>
      <c r="C4" s="9" t="s">
        <v>22</v>
      </c>
      <c r="D4" s="9" t="s">
        <v>23</v>
      </c>
      <c r="E4" s="9" t="s">
        <v>24</v>
      </c>
      <c r="F4" s="119" t="s">
        <v>25</v>
      </c>
      <c r="G4" s="119"/>
      <c r="H4" s="119"/>
    </row>
    <row r="5" spans="1:8" x14ac:dyDescent="0.25">
      <c r="A5" s="9" t="s">
        <v>26</v>
      </c>
      <c r="B5" s="9" t="s">
        <v>27</v>
      </c>
      <c r="C5" s="9" t="s">
        <v>28</v>
      </c>
      <c r="D5" s="9" t="s">
        <v>28</v>
      </c>
      <c r="E5" s="9" t="s">
        <v>28</v>
      </c>
      <c r="F5" s="9" t="s">
        <v>28</v>
      </c>
      <c r="G5" s="9" t="s">
        <v>29</v>
      </c>
      <c r="H5" s="9" t="s">
        <v>30</v>
      </c>
    </row>
    <row r="6" spans="1:8" x14ac:dyDescent="0.25">
      <c r="A6" s="10" t="s">
        <v>232</v>
      </c>
      <c r="B6" s="11">
        <v>1</v>
      </c>
      <c r="C6" s="12">
        <f>'Kal Unter OS Nossen'!Q5</f>
        <v>0</v>
      </c>
      <c r="D6" s="12">
        <f>'Kal Grund OS Nossen'!Q5</f>
        <v>0</v>
      </c>
      <c r="E6" s="116"/>
      <c r="F6" s="12">
        <f>SUM(C6:E6)</f>
        <v>0</v>
      </c>
      <c r="G6" s="12">
        <f t="shared" ref="G6:G8" si="0">H6-F6</f>
        <v>0</v>
      </c>
      <c r="H6" s="12">
        <f t="shared" ref="H6:H8" si="1">F6*1.19</f>
        <v>0</v>
      </c>
    </row>
    <row r="7" spans="1:8" ht="19.5" customHeight="1" x14ac:dyDescent="0.25">
      <c r="A7" s="10" t="s">
        <v>407</v>
      </c>
      <c r="B7" s="11">
        <v>1</v>
      </c>
      <c r="C7" s="12">
        <f>'Kal Unter TH OS Nossen'!Q5</f>
        <v>0</v>
      </c>
      <c r="D7" s="12">
        <f>'Kal Grund TH OS Nossen'!Q5</f>
        <v>0</v>
      </c>
      <c r="E7" s="12">
        <f>'Kal Unter TH OS Nossen (Ferien)'!Q5</f>
        <v>0</v>
      </c>
      <c r="F7" s="12">
        <f>SUM(C7:E7)</f>
        <v>0</v>
      </c>
      <c r="G7" s="12">
        <f t="shared" ref="G7" si="2">H7-F7</f>
        <v>0</v>
      </c>
      <c r="H7" s="12">
        <f t="shared" ref="H7" si="3">F7*1.19</f>
        <v>0</v>
      </c>
    </row>
    <row r="8" spans="1:8" x14ac:dyDescent="0.25">
      <c r="A8" s="10" t="s">
        <v>408</v>
      </c>
      <c r="B8" s="11">
        <v>1</v>
      </c>
      <c r="C8" s="114">
        <f>'Kal Unter GTA OS Nossen'!Q5</f>
        <v>0</v>
      </c>
      <c r="D8" s="114">
        <f>'Kal Grund GTA OS Nossen'!Q5</f>
        <v>0</v>
      </c>
      <c r="E8" s="116"/>
      <c r="F8" s="12">
        <f>SUM(C8:E8)</f>
        <v>0</v>
      </c>
      <c r="G8" s="12">
        <f t="shared" si="0"/>
        <v>0</v>
      </c>
      <c r="H8" s="12">
        <f t="shared" si="1"/>
        <v>0</v>
      </c>
    </row>
    <row r="9" spans="1:8" x14ac:dyDescent="0.25">
      <c r="A9" s="120" t="s">
        <v>31</v>
      </c>
      <c r="B9" s="120"/>
      <c r="C9" s="121"/>
      <c r="D9" s="121"/>
      <c r="E9" s="121"/>
      <c r="F9" s="12">
        <f>SUM(F6:F8)</f>
        <v>0</v>
      </c>
      <c r="G9" s="12">
        <f>SUM(G6:G8)</f>
        <v>0</v>
      </c>
      <c r="H9" s="12">
        <f>SUM(H6:H8)</f>
        <v>0</v>
      </c>
    </row>
  </sheetData>
  <sheetProtection algorithmName="SHA-512" hashValue="tYFJMHLta5Fu/46eSx5AFR3mEXvg59v5msxyVS+5Jai5LCRnozk9DadotJLJdW9wA4CBXGbrqTYwsn8y8m+rnw==" saltValue="lpKWSK5EBcfR2SFIcvwQDg==" spinCount="100000" sheet="1" objects="1" scenarios="1" formatCells="0" formatColumns="0" formatRows="0" insertColumns="0" insertRows="0" insertHyperlinks="0" deleteColumns="0" deleteRows="0"/>
  <mergeCells count="3">
    <mergeCell ref="A4:B4"/>
    <mergeCell ref="F4:H4"/>
    <mergeCell ref="A9:E9"/>
  </mergeCells>
  <hyperlinks>
    <hyperlink ref="C1" location="'Inhaltsverzeichnis'!$A$1" display="Zurück zum Inhaltsverzeichnis" xr:uid="{5267525C-51C6-4391-AB8B-EE5DB0773560}"/>
  </hyperlink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EFF2C-00C0-4981-913C-16CACC94E543}">
  <dimension ref="A1:Q80"/>
  <sheetViews>
    <sheetView topLeftCell="A16" workbookViewId="0">
      <selection activeCell="L31" sqref="L31"/>
    </sheetView>
  </sheetViews>
  <sheetFormatPr baseColWidth="10" defaultRowHeight="15" x14ac:dyDescent="0.25"/>
  <cols>
    <col min="1" max="1" width="7.42578125" customWidth="1"/>
    <col min="2" max="2" width="5.7109375" customWidth="1"/>
    <col min="3" max="3" width="39.5703125" customWidth="1"/>
    <col min="7" max="7" width="3.85546875" customWidth="1"/>
    <col min="9" max="9" width="2" bestFit="1" customWidth="1"/>
    <col min="10" max="10" width="1.140625" customWidth="1"/>
    <col min="12" max="12" width="52.85546875" bestFit="1" customWidth="1"/>
    <col min="13" max="13" width="8.140625" bestFit="1" customWidth="1"/>
    <col min="14" max="14" width="9.28515625" bestFit="1" customWidth="1"/>
    <col min="15" max="15" width="12.140625" customWidth="1"/>
    <col min="16" max="16" width="11.140625" customWidth="1"/>
    <col min="17" max="17" width="10.42578125" customWidth="1"/>
  </cols>
  <sheetData>
    <row r="1" spans="1:17" x14ac:dyDescent="0.25">
      <c r="A1" s="13" t="str">
        <f ca="1">IF(H61&lt;&gt;"","","Bitte alle gelben Zellen ausfüllen. Nicht benötigte Positionen sind eindeutig mit einer 0 zu kennzeichnen!")</f>
        <v>Bitte alle gelben Zellen ausfüllen. Nicht benötigte Positionen sind eindeutig mit einer 0 zu kennzeichnen!</v>
      </c>
      <c r="B1" s="14"/>
      <c r="C1" s="14"/>
      <c r="D1" s="14"/>
      <c r="E1" s="14"/>
      <c r="F1" s="14"/>
      <c r="G1" s="14"/>
      <c r="H1" s="14"/>
      <c r="I1" s="14"/>
      <c r="J1" s="14"/>
      <c r="K1" s="15"/>
      <c r="L1" s="16" t="s">
        <v>19</v>
      </c>
      <c r="M1" s="17"/>
      <c r="N1" s="17"/>
      <c r="O1" s="17"/>
    </row>
    <row r="2" spans="1:17" x14ac:dyDescent="0.25">
      <c r="A2" s="14" t="s">
        <v>20</v>
      </c>
      <c r="B2" s="14"/>
      <c r="C2" s="18" t="str">
        <f>IF(Inhaltsverzeichnis!B2="", "",Inhaltsverzeichnis!B2)</f>
        <v/>
      </c>
      <c r="D2" s="14"/>
      <c r="E2" s="14"/>
      <c r="F2" s="14"/>
      <c r="G2" s="14"/>
      <c r="H2" s="14"/>
      <c r="I2" s="14"/>
      <c r="J2" s="14"/>
      <c r="K2" s="14"/>
      <c r="L2" s="17"/>
      <c r="M2" s="17"/>
      <c r="N2" s="17"/>
      <c r="O2" s="17"/>
    </row>
    <row r="3" spans="1:17" x14ac:dyDescent="0.25">
      <c r="A3" s="126" t="s">
        <v>32</v>
      </c>
      <c r="B3" s="126"/>
      <c r="C3" s="126"/>
      <c r="D3" s="126"/>
      <c r="E3" s="126"/>
      <c r="F3" s="126"/>
      <c r="G3" s="126"/>
      <c r="H3" s="126"/>
      <c r="I3" s="126"/>
      <c r="J3" s="14"/>
      <c r="K3" s="14"/>
      <c r="L3" s="19" t="s">
        <v>33</v>
      </c>
      <c r="M3" s="20"/>
      <c r="N3" s="20"/>
      <c r="O3" s="20"/>
      <c r="P3" s="20"/>
      <c r="Q3" s="20"/>
    </row>
    <row r="4" spans="1:17" x14ac:dyDescent="0.25">
      <c r="A4" s="21"/>
      <c r="B4" s="21"/>
      <c r="C4" s="21"/>
      <c r="D4" s="21"/>
      <c r="E4" s="21"/>
      <c r="F4" s="21"/>
      <c r="G4" s="21"/>
      <c r="H4" s="21"/>
      <c r="I4" s="21"/>
      <c r="J4" s="14"/>
      <c r="K4" s="14"/>
      <c r="L4" s="22" t="s">
        <v>34</v>
      </c>
      <c r="M4" s="23">
        <v>25</v>
      </c>
      <c r="N4" s="24">
        <v>50</v>
      </c>
      <c r="O4" s="24">
        <v>150</v>
      </c>
      <c r="P4" s="24">
        <v>125</v>
      </c>
      <c r="Q4" s="24">
        <v>125</v>
      </c>
    </row>
    <row r="5" spans="1:17" ht="41.25" customHeight="1" x14ac:dyDescent="0.25">
      <c r="A5" s="25" t="s">
        <v>35</v>
      </c>
      <c r="B5" s="25" t="s">
        <v>36</v>
      </c>
      <c r="C5" s="25"/>
      <c r="D5" s="25"/>
      <c r="E5" s="25"/>
      <c r="F5" s="26">
        <v>100</v>
      </c>
      <c r="G5" s="25" t="s">
        <v>37</v>
      </c>
      <c r="H5" s="27"/>
      <c r="I5" s="25" t="s">
        <v>38</v>
      </c>
      <c r="J5" s="14"/>
      <c r="K5" s="28" t="str">
        <f>IF(H5="","Bitte ausfüllen!","")</f>
        <v>Bitte ausfüllen!</v>
      </c>
      <c r="L5" s="29"/>
      <c r="M5" s="30" t="s">
        <v>39</v>
      </c>
      <c r="N5" s="30" t="s">
        <v>40</v>
      </c>
      <c r="O5" s="30" t="s">
        <v>41</v>
      </c>
      <c r="P5" s="30" t="s">
        <v>158</v>
      </c>
      <c r="Q5" s="30" t="s">
        <v>159</v>
      </c>
    </row>
    <row r="6" spans="1:17" x14ac:dyDescent="0.25">
      <c r="A6" s="21"/>
      <c r="B6" s="21"/>
      <c r="C6" s="21"/>
      <c r="D6" s="21"/>
      <c r="E6" s="21"/>
      <c r="F6" s="31"/>
      <c r="G6" s="21"/>
      <c r="H6" s="31"/>
      <c r="I6" s="21"/>
      <c r="J6" s="14"/>
      <c r="K6" s="14"/>
      <c r="L6" s="29"/>
      <c r="M6" s="32" t="s">
        <v>38</v>
      </c>
      <c r="N6" s="32" t="s">
        <v>38</v>
      </c>
      <c r="O6" s="32" t="s">
        <v>38</v>
      </c>
      <c r="P6" s="32" t="s">
        <v>38</v>
      </c>
      <c r="Q6" s="32" t="s">
        <v>38</v>
      </c>
    </row>
    <row r="7" spans="1:17" x14ac:dyDescent="0.25">
      <c r="A7" s="25" t="s">
        <v>42</v>
      </c>
      <c r="B7" s="25" t="s">
        <v>43</v>
      </c>
      <c r="C7" s="25"/>
      <c r="D7" s="25"/>
      <c r="E7" s="25"/>
      <c r="F7" s="33"/>
      <c r="G7" s="25"/>
      <c r="H7" s="33"/>
      <c r="I7" s="25"/>
      <c r="J7" s="14"/>
      <c r="K7" s="14"/>
      <c r="L7" s="22" t="s">
        <v>44</v>
      </c>
      <c r="M7" s="34" t="str">
        <f ca="1">IF($H$61="","",ROUND(M3/100*$H$5,2))</f>
        <v/>
      </c>
      <c r="N7" s="34" t="str">
        <f ca="1">IF($H$61="","",ROUND(N3/100*$H$5,2))</f>
        <v/>
      </c>
      <c r="O7" s="34" t="str">
        <f ca="1">IF($H$61="","",ROUND(O3/100*$H$5,2))</f>
        <v/>
      </c>
      <c r="P7" s="34" t="str">
        <f ca="1">IF($H$61="","",ROUND(P3/100*$H$5,2))</f>
        <v/>
      </c>
      <c r="Q7" s="34" t="str">
        <f ca="1">IF($H$61="","",ROUND(Q3/100*$H$5,2))</f>
        <v/>
      </c>
    </row>
    <row r="8" spans="1:17" x14ac:dyDescent="0.25">
      <c r="A8" s="21" t="s">
        <v>45</v>
      </c>
      <c r="B8" s="21" t="s">
        <v>46</v>
      </c>
      <c r="C8" s="21"/>
      <c r="D8" s="21"/>
      <c r="E8" s="21"/>
      <c r="F8" s="33"/>
      <c r="G8" s="33"/>
      <c r="H8" s="33"/>
      <c r="I8" s="33"/>
      <c r="J8" s="14"/>
      <c r="K8" s="35"/>
      <c r="L8" s="29"/>
      <c r="M8" s="22"/>
      <c r="N8" s="22"/>
      <c r="O8" s="22"/>
      <c r="P8" s="22"/>
      <c r="Q8" s="22"/>
    </row>
    <row r="9" spans="1:17" x14ac:dyDescent="0.25">
      <c r="A9" s="21" t="s">
        <v>47</v>
      </c>
      <c r="B9" s="21"/>
      <c r="C9" s="21" t="s">
        <v>48</v>
      </c>
      <c r="D9" s="21"/>
      <c r="E9" s="21"/>
      <c r="F9" s="36"/>
      <c r="G9" s="21" t="s">
        <v>37</v>
      </c>
      <c r="H9" s="37" t="str">
        <f>IF(F9="","",ROUND(F9/100*$H$5,2))</f>
        <v/>
      </c>
      <c r="I9" s="21" t="s">
        <v>38</v>
      </c>
      <c r="J9" s="14"/>
      <c r="K9" s="28" t="str">
        <f>IF(F9="","Bitte ausfüllen!","")</f>
        <v>Bitte ausfüllen!</v>
      </c>
      <c r="L9" s="22" t="s">
        <v>49</v>
      </c>
      <c r="M9" s="34">
        <f>$H$5*(M4/100)</f>
        <v>0</v>
      </c>
      <c r="N9" s="34">
        <f>$H$5*(N4/100)</f>
        <v>0</v>
      </c>
      <c r="O9" s="34">
        <f>$H$5*(O4/100)</f>
        <v>0</v>
      </c>
      <c r="P9" s="34">
        <f>$H$5*(P4/100)</f>
        <v>0</v>
      </c>
      <c r="Q9" s="34">
        <f>$H$5*(Q4/100)</f>
        <v>0</v>
      </c>
    </row>
    <row r="10" spans="1:17" x14ac:dyDescent="0.25">
      <c r="A10" s="21" t="s">
        <v>50</v>
      </c>
      <c r="B10" s="21"/>
      <c r="C10" s="21" t="s">
        <v>51</v>
      </c>
      <c r="D10" s="21"/>
      <c r="E10" s="21"/>
      <c r="F10" s="36"/>
      <c r="G10" s="21" t="s">
        <v>37</v>
      </c>
      <c r="H10" s="37" t="str">
        <f>IF(F10="","",ROUND(F10/100*$H$5,2))</f>
        <v/>
      </c>
      <c r="I10" s="21" t="s">
        <v>38</v>
      </c>
      <c r="J10" s="14"/>
      <c r="K10" s="28" t="str">
        <f>IF(F10="","Bitte ausfüllen!","")</f>
        <v>Bitte ausfüllen!</v>
      </c>
      <c r="L10" s="22" t="s">
        <v>52</v>
      </c>
      <c r="M10" s="38" t="str">
        <f ca="1">IF(M7="","",M7-M9)</f>
        <v/>
      </c>
      <c r="N10" s="38" t="str">
        <f ca="1">IF(N7="","",N7-N9)</f>
        <v/>
      </c>
      <c r="O10" s="38" t="str">
        <f ca="1">IF(O7="","",O7-O9)</f>
        <v/>
      </c>
      <c r="P10" s="38" t="str">
        <f ca="1">IF(P7="","",P7-P9)</f>
        <v/>
      </c>
      <c r="Q10" s="38" t="str">
        <f ca="1">IF(Q7="","",Q7-Q9)</f>
        <v/>
      </c>
    </row>
    <row r="11" spans="1:17" x14ac:dyDescent="0.25">
      <c r="A11" s="21" t="s">
        <v>53</v>
      </c>
      <c r="B11" s="21"/>
      <c r="C11" s="21" t="s">
        <v>54</v>
      </c>
      <c r="D11" s="21"/>
      <c r="E11" s="21"/>
      <c r="F11" s="36"/>
      <c r="G11" s="21" t="s">
        <v>37</v>
      </c>
      <c r="H11" s="37" t="str">
        <f>IF(F11="","",ROUND(F11/100*$H$5,2))</f>
        <v/>
      </c>
      <c r="I11" s="21" t="s">
        <v>38</v>
      </c>
      <c r="J11" s="14"/>
      <c r="K11" s="28" t="str">
        <f>IF(F11="","Bitte ausfüllen!","")</f>
        <v>Bitte ausfüllen!</v>
      </c>
      <c r="L11" s="22"/>
      <c r="M11" s="22"/>
      <c r="N11" s="22"/>
      <c r="O11" s="22"/>
      <c r="P11" s="22"/>
      <c r="Q11" s="22"/>
    </row>
    <row r="12" spans="1:17" x14ac:dyDescent="0.25">
      <c r="A12" s="21" t="s">
        <v>55</v>
      </c>
      <c r="B12" s="21"/>
      <c r="C12" s="21" t="s">
        <v>56</v>
      </c>
      <c r="D12" s="21"/>
      <c r="E12" s="21"/>
      <c r="F12" s="36"/>
      <c r="G12" s="21" t="s">
        <v>37</v>
      </c>
      <c r="H12" s="37" t="str">
        <f>IF(F12="","",ROUND(F12/100*$H$5,2))</f>
        <v/>
      </c>
      <c r="I12" s="21" t="s">
        <v>38</v>
      </c>
      <c r="J12" s="14"/>
      <c r="K12" s="28" t="str">
        <f>IF(F12="","Bitte ausfüllen!","")</f>
        <v>Bitte ausfüllen!</v>
      </c>
      <c r="L12" s="39" t="s">
        <v>57</v>
      </c>
      <c r="M12" s="34" t="str">
        <f ca="1">IF(M10="","",$D17%*M$10)</f>
        <v/>
      </c>
      <c r="N12" s="34" t="str">
        <f ca="1">IF(N10="","",$D17%*N$10)</f>
        <v/>
      </c>
      <c r="O12" s="34" t="str">
        <f ca="1">IF(O10="","",$D17%*O$10)</f>
        <v/>
      </c>
      <c r="P12" s="34" t="str">
        <f ca="1">IF(P10="","",$D17%*P$10)</f>
        <v/>
      </c>
      <c r="Q12" s="34" t="str">
        <f ca="1">IF(Q10="","",$D17%*Q$10)</f>
        <v/>
      </c>
    </row>
    <row r="13" spans="1:17" x14ac:dyDescent="0.25">
      <c r="A13" s="21" t="s">
        <v>58</v>
      </c>
      <c r="B13" s="21"/>
      <c r="C13" s="21" t="s">
        <v>59</v>
      </c>
      <c r="D13" s="21"/>
      <c r="E13" s="21"/>
      <c r="F13" s="36"/>
      <c r="G13" s="21" t="s">
        <v>37</v>
      </c>
      <c r="H13" s="37" t="str">
        <f>IF(F13="","",ROUND(F13/100*$H$5,2))</f>
        <v/>
      </c>
      <c r="I13" s="21" t="s">
        <v>38</v>
      </c>
      <c r="J13" s="14"/>
      <c r="K13" s="28" t="str">
        <f>IF(F13="","Bitte ausfüllen!","")</f>
        <v>Bitte ausfüllen!</v>
      </c>
      <c r="L13" s="39" t="s">
        <v>60</v>
      </c>
      <c r="M13" s="34" t="str">
        <f ca="1">IF(M12="","",$D18%*M$10)</f>
        <v/>
      </c>
      <c r="N13" s="34" t="str">
        <f ca="1">IF(N12="","",$D18%*N$10)</f>
        <v/>
      </c>
      <c r="O13" s="34" t="str">
        <f ca="1">IF(O12="","",$D18%*O$10)</f>
        <v/>
      </c>
      <c r="P13" s="34" t="str">
        <f ca="1">IF(P12="","",$D18%*P$10)</f>
        <v/>
      </c>
      <c r="Q13" s="34" t="str">
        <f ca="1">IF(Q12="","",$D18%*Q$10)</f>
        <v/>
      </c>
    </row>
    <row r="14" spans="1:17" x14ac:dyDescent="0.25">
      <c r="A14" s="25"/>
      <c r="B14" s="25" t="s">
        <v>61</v>
      </c>
      <c r="C14" s="25"/>
      <c r="D14" s="25"/>
      <c r="E14" s="25"/>
      <c r="F14" s="40">
        <f>IF(SUM(F9:F13)=0,0,SUM(F9:F13))</f>
        <v>0</v>
      </c>
      <c r="G14" s="25" t="s">
        <v>37</v>
      </c>
      <c r="H14" s="41" t="str">
        <f>IF(COUNTIF(F9:F13,"")&gt;0,"",SUM(H8:H13))</f>
        <v/>
      </c>
      <c r="I14" s="25" t="s">
        <v>38</v>
      </c>
      <c r="J14" s="14"/>
      <c r="K14" s="28" t="str">
        <f>IF(H14="","Angaben offen!","")</f>
        <v>Angaben offen!</v>
      </c>
      <c r="L14" s="39" t="s">
        <v>62</v>
      </c>
      <c r="M14" s="34" t="str">
        <f t="shared" ref="M14:Q21" ca="1" si="0">IF(M13="","",$D19%*M$10)</f>
        <v/>
      </c>
      <c r="N14" s="34" t="str">
        <f t="shared" ca="1" si="0"/>
        <v/>
      </c>
      <c r="O14" s="34" t="str">
        <f t="shared" ca="1" si="0"/>
        <v/>
      </c>
      <c r="P14" s="34" t="str">
        <f t="shared" ca="1" si="0"/>
        <v/>
      </c>
      <c r="Q14" s="34" t="str">
        <f t="shared" ca="1" si="0"/>
        <v/>
      </c>
    </row>
    <row r="15" spans="1:17" x14ac:dyDescent="0.25">
      <c r="A15" s="21"/>
      <c r="B15" s="21"/>
      <c r="C15" s="21"/>
      <c r="D15" s="21"/>
      <c r="E15" s="21"/>
      <c r="F15" s="31"/>
      <c r="G15" s="21"/>
      <c r="H15" s="31"/>
      <c r="I15" s="21"/>
      <c r="J15" s="14"/>
      <c r="K15" s="14"/>
      <c r="L15" s="39" t="s">
        <v>63</v>
      </c>
      <c r="M15" s="34" t="str">
        <f t="shared" ca="1" si="0"/>
        <v/>
      </c>
      <c r="N15" s="34" t="str">
        <f t="shared" ca="1" si="0"/>
        <v/>
      </c>
      <c r="O15" s="34" t="str">
        <f t="shared" ca="1" si="0"/>
        <v/>
      </c>
      <c r="P15" s="34" t="str">
        <f t="shared" ca="1" si="0"/>
        <v/>
      </c>
      <c r="Q15" s="34" t="str">
        <f t="shared" ca="1" si="0"/>
        <v/>
      </c>
    </row>
    <row r="16" spans="1:17" x14ac:dyDescent="0.25">
      <c r="A16" s="25" t="s">
        <v>64</v>
      </c>
      <c r="B16" s="25" t="s">
        <v>65</v>
      </c>
      <c r="C16" s="25"/>
      <c r="D16" s="25"/>
      <c r="E16" s="25"/>
      <c r="F16" s="33"/>
      <c r="G16" s="25"/>
      <c r="H16" s="33"/>
      <c r="I16" s="25"/>
      <c r="J16" s="14"/>
      <c r="K16" s="14"/>
      <c r="L16" s="39" t="s">
        <v>66</v>
      </c>
      <c r="M16" s="34" t="str">
        <f t="shared" ca="1" si="0"/>
        <v/>
      </c>
      <c r="N16" s="34" t="str">
        <f t="shared" ca="1" si="0"/>
        <v/>
      </c>
      <c r="O16" s="34" t="str">
        <f t="shared" ca="1" si="0"/>
        <v/>
      </c>
      <c r="P16" s="34" t="str">
        <f t="shared" ca="1" si="0"/>
        <v/>
      </c>
      <c r="Q16" s="34" t="str">
        <f t="shared" ca="1" si="0"/>
        <v/>
      </c>
    </row>
    <row r="17" spans="1:17" x14ac:dyDescent="0.25">
      <c r="A17" s="21" t="s">
        <v>67</v>
      </c>
      <c r="B17" s="42" t="s">
        <v>68</v>
      </c>
      <c r="C17" s="42"/>
      <c r="D17" s="43"/>
      <c r="E17" s="21" t="s">
        <v>37</v>
      </c>
      <c r="F17" s="31"/>
      <c r="G17" s="21"/>
      <c r="H17" s="31"/>
      <c r="I17" s="21"/>
      <c r="J17" s="14"/>
      <c r="K17" s="28" t="str">
        <f>IF(D17&lt;&gt;D73,"Wert prüfen!","")</f>
        <v/>
      </c>
      <c r="L17" s="39" t="s">
        <v>69</v>
      </c>
      <c r="M17" s="34" t="str">
        <f t="shared" ca="1" si="0"/>
        <v/>
      </c>
      <c r="N17" s="34" t="str">
        <f t="shared" ca="1" si="0"/>
        <v/>
      </c>
      <c r="O17" s="34" t="str">
        <f t="shared" ca="1" si="0"/>
        <v/>
      </c>
      <c r="P17" s="34" t="str">
        <f t="shared" ca="1" si="0"/>
        <v/>
      </c>
      <c r="Q17" s="34" t="str">
        <f t="shared" ca="1" si="0"/>
        <v/>
      </c>
    </row>
    <row r="18" spans="1:17" x14ac:dyDescent="0.25">
      <c r="A18" s="21"/>
      <c r="B18" s="42" t="s">
        <v>60</v>
      </c>
      <c r="C18" s="42"/>
      <c r="D18" s="44">
        <f>(D17/100)*$F$14</f>
        <v>0</v>
      </c>
      <c r="E18" s="21" t="s">
        <v>37</v>
      </c>
      <c r="F18" s="45">
        <f>IF(D18="","",D17+D18)</f>
        <v>0</v>
      </c>
      <c r="G18" s="21" t="s">
        <v>37</v>
      </c>
      <c r="H18" s="46">
        <f>IF(D18="","",ROUND(F18/100*$H$5,2))</f>
        <v>0</v>
      </c>
      <c r="I18" s="21" t="s">
        <v>38</v>
      </c>
      <c r="J18" s="14"/>
      <c r="K18" s="28"/>
      <c r="L18" s="39" t="s">
        <v>70</v>
      </c>
      <c r="M18" s="34" t="str">
        <f t="shared" ca="1" si="0"/>
        <v/>
      </c>
      <c r="N18" s="34" t="str">
        <f t="shared" ca="1" si="0"/>
        <v/>
      </c>
      <c r="O18" s="34" t="str">
        <f t="shared" ca="1" si="0"/>
        <v/>
      </c>
      <c r="P18" s="34" t="str">
        <f t="shared" ca="1" si="0"/>
        <v/>
      </c>
      <c r="Q18" s="34" t="str">
        <f t="shared" ca="1" si="0"/>
        <v/>
      </c>
    </row>
    <row r="19" spans="1:17" x14ac:dyDescent="0.25">
      <c r="A19" s="21" t="s">
        <v>71</v>
      </c>
      <c r="B19" s="42" t="s">
        <v>72</v>
      </c>
      <c r="C19" s="42"/>
      <c r="D19" s="43"/>
      <c r="E19" s="21" t="s">
        <v>37</v>
      </c>
      <c r="F19" s="47"/>
      <c r="G19" s="21"/>
      <c r="H19" s="31"/>
      <c r="I19" s="21"/>
      <c r="J19" s="14"/>
      <c r="K19" s="28" t="str">
        <f>IF(D19&lt;&gt;D74,"Wert prüfen!","")</f>
        <v/>
      </c>
      <c r="L19" s="39" t="s">
        <v>73</v>
      </c>
      <c r="M19" s="34" t="str">
        <f t="shared" ca="1" si="0"/>
        <v/>
      </c>
      <c r="N19" s="34" t="str">
        <f t="shared" ca="1" si="0"/>
        <v/>
      </c>
      <c r="O19" s="34" t="str">
        <f t="shared" ca="1" si="0"/>
        <v/>
      </c>
      <c r="P19" s="34" t="str">
        <f t="shared" ca="1" si="0"/>
        <v/>
      </c>
      <c r="Q19" s="34" t="str">
        <f t="shared" ca="1" si="0"/>
        <v/>
      </c>
    </row>
    <row r="20" spans="1:17" x14ac:dyDescent="0.25">
      <c r="A20" s="21"/>
      <c r="B20" s="42" t="s">
        <v>63</v>
      </c>
      <c r="C20" s="42"/>
      <c r="D20" s="44">
        <f>(D19/100)*$F$14</f>
        <v>0</v>
      </c>
      <c r="E20" s="21" t="s">
        <v>37</v>
      </c>
      <c r="F20" s="45">
        <f>IF(D20="","",D19+D20)</f>
        <v>0</v>
      </c>
      <c r="G20" s="21" t="s">
        <v>37</v>
      </c>
      <c r="H20" s="46">
        <f>IF(D20="","",ROUND(F20/100*$H$5,2))</f>
        <v>0</v>
      </c>
      <c r="I20" s="21" t="s">
        <v>38</v>
      </c>
      <c r="J20" s="14"/>
      <c r="K20" s="28"/>
      <c r="L20" s="39" t="s">
        <v>74</v>
      </c>
      <c r="M20" s="34" t="str">
        <f t="shared" ca="1" si="0"/>
        <v/>
      </c>
      <c r="N20" s="34" t="str">
        <f t="shared" ca="1" si="0"/>
        <v/>
      </c>
      <c r="O20" s="34" t="str">
        <f t="shared" ca="1" si="0"/>
        <v/>
      </c>
      <c r="P20" s="34" t="str">
        <f t="shared" ca="1" si="0"/>
        <v/>
      </c>
      <c r="Q20" s="34" t="str">
        <f t="shared" ca="1" si="0"/>
        <v/>
      </c>
    </row>
    <row r="21" spans="1:17" x14ac:dyDescent="0.25">
      <c r="A21" s="21" t="s">
        <v>75</v>
      </c>
      <c r="B21" s="42" t="s">
        <v>76</v>
      </c>
      <c r="C21" s="42"/>
      <c r="D21" s="43"/>
      <c r="E21" s="21" t="s">
        <v>37</v>
      </c>
      <c r="F21" s="47"/>
      <c r="G21" s="21"/>
      <c r="H21" s="31"/>
      <c r="I21" s="21"/>
      <c r="J21" s="14"/>
      <c r="K21" s="28" t="str">
        <f>IF(D21&lt;&gt;D75,"Wert prüfen!","")</f>
        <v/>
      </c>
      <c r="L21" s="39" t="s">
        <v>77</v>
      </c>
      <c r="M21" s="34" t="str">
        <f t="shared" ca="1" si="0"/>
        <v/>
      </c>
      <c r="N21" s="34" t="str">
        <f t="shared" ca="1" si="0"/>
        <v/>
      </c>
      <c r="O21" s="34" t="str">
        <f t="shared" ca="1" si="0"/>
        <v/>
      </c>
      <c r="P21" s="34" t="str">
        <f t="shared" ca="1" si="0"/>
        <v/>
      </c>
      <c r="Q21" s="34" t="str">
        <f t="shared" ca="1" si="0"/>
        <v/>
      </c>
    </row>
    <row r="22" spans="1:17" x14ac:dyDescent="0.25">
      <c r="A22" s="21"/>
      <c r="B22" s="42" t="s">
        <v>69</v>
      </c>
      <c r="C22" s="42"/>
      <c r="D22" s="44">
        <f>(D21/100)*$F$14</f>
        <v>0</v>
      </c>
      <c r="E22" s="21" t="s">
        <v>37</v>
      </c>
      <c r="F22" s="45">
        <f>IF(D22="","",D21+D22)</f>
        <v>0</v>
      </c>
      <c r="G22" s="21" t="s">
        <v>37</v>
      </c>
      <c r="H22" s="46">
        <f>IF(D22="","",ROUND(F22/100*$H$5,2))</f>
        <v>0</v>
      </c>
      <c r="I22" s="21" t="s">
        <v>38</v>
      </c>
      <c r="J22" s="14"/>
      <c r="K22" s="28"/>
      <c r="L22" s="22" t="s">
        <v>78</v>
      </c>
      <c r="M22" s="34" t="str">
        <f>IF($F$27="","",ROUND($F$27/100*M7,2))</f>
        <v/>
      </c>
      <c r="N22" s="34" t="str">
        <f>IF($F$27="","",ROUND($F$27/100*N7,2))</f>
        <v/>
      </c>
      <c r="O22" s="34" t="str">
        <f>IF($F$27="","",ROUND($F$27/100*O7,2))</f>
        <v/>
      </c>
      <c r="P22" s="34" t="str">
        <f>IF($F$27="","",ROUND($F$27/100*P7,2))</f>
        <v/>
      </c>
      <c r="Q22" s="34" t="str">
        <f>IF($F$27="","",ROUND($F$27/100*Q7,2))</f>
        <v/>
      </c>
    </row>
    <row r="23" spans="1:17" x14ac:dyDescent="0.25">
      <c r="A23" s="21" t="s">
        <v>79</v>
      </c>
      <c r="B23" s="42" t="s">
        <v>80</v>
      </c>
      <c r="C23" s="42"/>
      <c r="D23" s="43"/>
      <c r="E23" s="21" t="s">
        <v>37</v>
      </c>
      <c r="F23" s="47"/>
      <c r="G23" s="21"/>
      <c r="H23" s="31"/>
      <c r="I23" s="21"/>
      <c r="J23" s="14"/>
      <c r="K23" s="28" t="str">
        <f>IF(D23&lt;&gt;D76,"Wert prüfen!","")</f>
        <v/>
      </c>
      <c r="L23" s="19"/>
      <c r="M23" s="39"/>
      <c r="N23" s="39"/>
      <c r="O23" s="39"/>
      <c r="P23" s="39"/>
      <c r="Q23" s="39"/>
    </row>
    <row r="24" spans="1:17" x14ac:dyDescent="0.25">
      <c r="A24" s="21"/>
      <c r="B24" s="42" t="s">
        <v>73</v>
      </c>
      <c r="C24" s="42"/>
      <c r="D24" s="44">
        <f>(D23/100)*$F$14</f>
        <v>0</v>
      </c>
      <c r="E24" s="21" t="s">
        <v>37</v>
      </c>
      <c r="F24" s="45">
        <f>IF(D24="","",D23+D24)</f>
        <v>0</v>
      </c>
      <c r="G24" s="21" t="s">
        <v>37</v>
      </c>
      <c r="H24" s="46">
        <f>IF(D24="","",ROUND(F24/100*$H$5,2))</f>
        <v>0</v>
      </c>
      <c r="I24" s="21" t="s">
        <v>38</v>
      </c>
      <c r="J24" s="14"/>
      <c r="K24" s="28"/>
      <c r="L24" s="22" t="s">
        <v>81</v>
      </c>
      <c r="M24" s="34">
        <f ca="1">SUM(M12:M22)</f>
        <v>0</v>
      </c>
      <c r="N24" s="34">
        <f ca="1">SUM(N12:N22)</f>
        <v>0</v>
      </c>
      <c r="O24" s="34">
        <f ca="1">SUM(O12:O22)</f>
        <v>0</v>
      </c>
      <c r="P24" s="34">
        <f ca="1">SUM(P12:P22)</f>
        <v>0</v>
      </c>
      <c r="Q24" s="34">
        <f ca="1">SUM(Q12:Q22)</f>
        <v>0</v>
      </c>
    </row>
    <row r="25" spans="1:17" x14ac:dyDescent="0.25">
      <c r="A25" s="21" t="s">
        <v>82</v>
      </c>
      <c r="B25" s="42" t="s">
        <v>83</v>
      </c>
      <c r="C25" s="42"/>
      <c r="D25" s="36"/>
      <c r="E25" s="21" t="s">
        <v>37</v>
      </c>
      <c r="F25" s="47"/>
      <c r="G25" s="21"/>
      <c r="H25" s="31"/>
      <c r="I25" s="21"/>
      <c r="J25" s="14"/>
      <c r="K25" s="28" t="str">
        <f>IF(D25="","Bitte ausfüllen!","")</f>
        <v>Bitte ausfüllen!</v>
      </c>
      <c r="L25" s="22" t="s">
        <v>84</v>
      </c>
      <c r="M25" s="38" t="str">
        <f ca="1">IF(M7="","",(SUM(M12:M22)+M7))</f>
        <v/>
      </c>
      <c r="N25" s="38" t="str">
        <f ca="1">IF(N7="","",(SUM(N12:N22)+N7))</f>
        <v/>
      </c>
      <c r="O25" s="38" t="str">
        <f ca="1">IF(O7="","",(SUM(O12:O22)+O7))</f>
        <v/>
      </c>
      <c r="P25" s="38" t="str">
        <f ca="1">IF(P7="","",(SUM(P12:P22)+P7))</f>
        <v/>
      </c>
      <c r="Q25" s="38" t="str">
        <f ca="1">IF(Q7="","",(SUM(Q12:Q22)+Q7))</f>
        <v/>
      </c>
    </row>
    <row r="26" spans="1:17" x14ac:dyDescent="0.25">
      <c r="A26" s="21"/>
      <c r="B26" s="42" t="s">
        <v>77</v>
      </c>
      <c r="C26" s="42"/>
      <c r="D26" s="44">
        <f>(D25/100)*$F$14</f>
        <v>0</v>
      </c>
      <c r="E26" s="21" t="s">
        <v>37</v>
      </c>
      <c r="F26" s="45">
        <f>IF(D26="","",D25+D26)</f>
        <v>0</v>
      </c>
      <c r="G26" s="21" t="s">
        <v>37</v>
      </c>
      <c r="H26" s="46">
        <f>IF(D26="","",ROUND(F26/100*$H$5,2))</f>
        <v>0</v>
      </c>
      <c r="I26" s="21" t="s">
        <v>38</v>
      </c>
      <c r="J26" s="14"/>
      <c r="K26" s="28"/>
      <c r="L26" s="22"/>
      <c r="M26" s="22"/>
      <c r="N26" s="22"/>
      <c r="O26" s="22"/>
      <c r="P26" s="22"/>
      <c r="Q26" s="22"/>
    </row>
    <row r="27" spans="1:17" x14ac:dyDescent="0.25">
      <c r="A27" s="21" t="s">
        <v>85</v>
      </c>
      <c r="B27" s="42" t="s">
        <v>86</v>
      </c>
      <c r="C27" s="42"/>
      <c r="D27" s="21"/>
      <c r="E27" s="21"/>
      <c r="F27" s="36"/>
      <c r="G27" s="21" t="s">
        <v>37</v>
      </c>
      <c r="H27" s="46" t="str">
        <f>IF(F27="","",ROUND(F27/100*$H$5,2))</f>
        <v/>
      </c>
      <c r="I27" s="21" t="s">
        <v>38</v>
      </c>
      <c r="J27" s="14"/>
      <c r="K27" s="28" t="str">
        <f>IF(F27="","Bitte ausfüllen!","")</f>
        <v>Bitte ausfüllen!</v>
      </c>
      <c r="L27" s="22" t="s">
        <v>87</v>
      </c>
      <c r="M27" s="38" t="str">
        <f ca="1">IF(M25="","",$H$61+M25)</f>
        <v/>
      </c>
      <c r="N27" s="38" t="str">
        <f ca="1">IF(N25="","",$H$61+N25)</f>
        <v/>
      </c>
      <c r="O27" s="38" t="str">
        <f ca="1">IF(O25="","",$H$61+O25)</f>
        <v/>
      </c>
      <c r="P27" s="38" t="str">
        <f ca="1">IF(P25="","",$H$61+P25)</f>
        <v/>
      </c>
      <c r="Q27" s="38" t="str">
        <f ca="1">IF(Q25="","",$H$61+Q25)</f>
        <v/>
      </c>
    </row>
    <row r="28" spans="1:17" x14ac:dyDescent="0.25">
      <c r="A28" s="21" t="s">
        <v>88</v>
      </c>
      <c r="B28" s="42" t="s">
        <v>89</v>
      </c>
      <c r="C28" s="42"/>
      <c r="D28" s="21"/>
      <c r="E28" s="21"/>
      <c r="F28" s="36"/>
      <c r="G28" s="21" t="s">
        <v>37</v>
      </c>
      <c r="H28" s="46" t="str">
        <f>IF(F28="","",ROUND(F28/100*$H$5,2))</f>
        <v/>
      </c>
      <c r="I28" s="21" t="s">
        <v>38</v>
      </c>
      <c r="J28" s="14"/>
      <c r="K28" s="28" t="str">
        <f>IF(F28&lt;&gt;D79,"Wert prüfen!","")</f>
        <v/>
      </c>
      <c r="L28" s="17"/>
      <c r="M28" s="17"/>
      <c r="N28" s="17"/>
      <c r="O28" s="17"/>
    </row>
    <row r="29" spans="1:17" ht="25.5" customHeight="1" x14ac:dyDescent="0.25">
      <c r="A29" s="48"/>
      <c r="B29" s="127" t="s">
        <v>90</v>
      </c>
      <c r="C29" s="127"/>
      <c r="D29" s="48"/>
      <c r="E29" s="48"/>
      <c r="F29" s="49" t="str">
        <f>IF(SUM(F17:F28)=0,"",SUM(F17:F28)+F14)</f>
        <v/>
      </c>
      <c r="G29" s="48" t="s">
        <v>37</v>
      </c>
      <c r="H29" s="50" t="str">
        <f>IF(OR(COUNTIF(D17:D26,"")&gt;0,COUNTIF(F27:F28,"")&gt;0),"",SUM(H17:H28)+H14)</f>
        <v/>
      </c>
      <c r="I29" s="48" t="s">
        <v>38</v>
      </c>
      <c r="J29" s="51"/>
      <c r="K29" s="28" t="str">
        <f>IF(H29="","Angaben offen!","")</f>
        <v>Angaben offen!</v>
      </c>
      <c r="L29" s="17"/>
      <c r="M29" s="17"/>
      <c r="N29" s="17"/>
      <c r="O29" s="17"/>
    </row>
    <row r="30" spans="1:17" x14ac:dyDescent="0.25">
      <c r="A30" s="21"/>
      <c r="B30" s="21"/>
      <c r="C30" s="21"/>
      <c r="D30" s="21"/>
      <c r="E30" s="21"/>
      <c r="F30" s="31"/>
      <c r="G30" s="21"/>
      <c r="H30" s="31"/>
      <c r="I30" s="21"/>
      <c r="J30" s="14"/>
      <c r="K30" s="14"/>
      <c r="L30" s="17"/>
      <c r="M30" s="17"/>
      <c r="N30" s="17"/>
      <c r="O30" s="17"/>
    </row>
    <row r="31" spans="1:17" x14ac:dyDescent="0.25">
      <c r="A31" s="21"/>
      <c r="B31" s="25" t="s">
        <v>91</v>
      </c>
      <c r="C31" s="21"/>
      <c r="D31" s="21"/>
      <c r="E31" s="21"/>
      <c r="F31" s="31"/>
      <c r="G31" s="21"/>
      <c r="H31" s="31"/>
      <c r="I31" s="21"/>
      <c r="J31" s="14"/>
      <c r="K31" s="14"/>
      <c r="L31" s="17"/>
      <c r="M31" s="17"/>
      <c r="N31" s="17"/>
      <c r="O31" s="17"/>
    </row>
    <row r="32" spans="1:17" x14ac:dyDescent="0.25">
      <c r="A32" s="21" t="s">
        <v>92</v>
      </c>
      <c r="B32" s="21" t="s">
        <v>93</v>
      </c>
      <c r="C32" s="21"/>
      <c r="D32" s="21"/>
      <c r="E32" s="21"/>
      <c r="F32" s="43"/>
      <c r="G32" s="21" t="s">
        <v>37</v>
      </c>
      <c r="H32" s="46" t="str">
        <f>IF(F32="","",ROUND(F32/100*$H$5,2))</f>
        <v/>
      </c>
      <c r="I32" s="21" t="s">
        <v>38</v>
      </c>
      <c r="J32" s="14"/>
      <c r="K32" s="28" t="str">
        <f>IF(F32="","Bitte ausfüllen!","")</f>
        <v>Bitte ausfüllen!</v>
      </c>
      <c r="L32" s="17"/>
      <c r="M32" s="17"/>
      <c r="N32" s="17"/>
      <c r="O32" s="17"/>
    </row>
    <row r="33" spans="1:15" x14ac:dyDescent="0.25">
      <c r="A33" s="21" t="s">
        <v>94</v>
      </c>
      <c r="B33" s="21" t="s">
        <v>95</v>
      </c>
      <c r="C33" s="21"/>
      <c r="D33" s="21"/>
      <c r="E33" s="21"/>
      <c r="F33" s="43"/>
      <c r="G33" s="21" t="s">
        <v>37</v>
      </c>
      <c r="H33" s="46" t="str">
        <f>IF(F33="","",ROUND(F33/100*$H$5,2))</f>
        <v/>
      </c>
      <c r="I33" s="21" t="s">
        <v>38</v>
      </c>
      <c r="J33" s="14"/>
      <c r="K33" s="28" t="str">
        <f>IF(F33="","Bitte ausfüllen!","")</f>
        <v>Bitte ausfüllen!</v>
      </c>
      <c r="L33" s="17"/>
      <c r="M33" s="17"/>
      <c r="N33" s="17"/>
      <c r="O33" s="17"/>
    </row>
    <row r="34" spans="1:15" x14ac:dyDescent="0.25">
      <c r="A34" s="48"/>
      <c r="B34" s="127" t="s">
        <v>96</v>
      </c>
      <c r="C34" s="127"/>
      <c r="D34" s="48"/>
      <c r="E34" s="48"/>
      <c r="F34" s="49" t="str">
        <f>IF(SUM(F32:F33)=0,"",SUM(F32:F33)+F29)</f>
        <v/>
      </c>
      <c r="G34" s="48" t="s">
        <v>37</v>
      </c>
      <c r="H34" s="50" t="str">
        <f>IF(COUNTIF(H32:H33,"")&gt;0,"",SUM(H32:H33)+H29)</f>
        <v/>
      </c>
      <c r="I34" s="48" t="s">
        <v>38</v>
      </c>
      <c r="J34" s="51"/>
      <c r="K34" s="28" t="str">
        <f>IF(H34="","Angaben offen!","")</f>
        <v>Angaben offen!</v>
      </c>
      <c r="L34" s="52"/>
      <c r="M34" s="17"/>
      <c r="N34" s="17"/>
      <c r="O34" s="17"/>
    </row>
    <row r="35" spans="1:15" x14ac:dyDescent="0.25">
      <c r="A35" s="21"/>
      <c r="B35" s="21"/>
      <c r="C35" s="21"/>
      <c r="D35" s="21"/>
      <c r="E35" s="21"/>
      <c r="F35" s="31"/>
      <c r="G35" s="21"/>
      <c r="H35" s="31"/>
      <c r="I35" s="21"/>
      <c r="J35" s="14"/>
      <c r="K35" s="14"/>
      <c r="L35" s="17"/>
      <c r="M35" s="17"/>
      <c r="N35" s="17"/>
      <c r="O35" s="17"/>
    </row>
    <row r="36" spans="1:15" x14ac:dyDescent="0.25">
      <c r="A36" s="25" t="s">
        <v>97</v>
      </c>
      <c r="B36" s="25" t="s">
        <v>98</v>
      </c>
      <c r="C36" s="25"/>
      <c r="D36" s="25"/>
      <c r="E36" s="25"/>
      <c r="F36" s="33"/>
      <c r="G36" s="25"/>
      <c r="H36" s="33"/>
      <c r="I36" s="25"/>
      <c r="J36" s="14"/>
      <c r="K36" s="14"/>
      <c r="L36" s="17"/>
      <c r="M36" s="17"/>
      <c r="N36" s="17"/>
      <c r="O36" s="17"/>
    </row>
    <row r="37" spans="1:15" x14ac:dyDescent="0.25">
      <c r="A37" s="21" t="s">
        <v>99</v>
      </c>
      <c r="B37" s="21" t="s">
        <v>100</v>
      </c>
      <c r="C37" s="21"/>
      <c r="D37" s="21"/>
      <c r="E37" s="21"/>
      <c r="F37" s="31"/>
      <c r="G37" s="21"/>
      <c r="H37" s="31"/>
      <c r="I37" s="21"/>
      <c r="J37" s="14"/>
      <c r="K37" s="14"/>
      <c r="L37" s="17"/>
      <c r="M37" s="17"/>
      <c r="N37" s="17"/>
      <c r="O37" s="17"/>
    </row>
    <row r="38" spans="1:15" x14ac:dyDescent="0.25">
      <c r="A38" s="21"/>
      <c r="B38" s="21" t="s">
        <v>101</v>
      </c>
      <c r="C38" s="21"/>
      <c r="D38" s="21"/>
      <c r="E38" s="21"/>
      <c r="F38" s="43"/>
      <c r="G38" s="21" t="s">
        <v>37</v>
      </c>
      <c r="H38" s="46" t="str">
        <f>IF(F38="","",ROUND(F38/100*$H$5,2))</f>
        <v/>
      </c>
      <c r="I38" s="21" t="s">
        <v>38</v>
      </c>
      <c r="J38" s="14"/>
      <c r="K38" s="28" t="str">
        <f>IF(F38="","Bitte ausfüllen!","")</f>
        <v>Bitte ausfüllen!</v>
      </c>
      <c r="L38" s="17"/>
      <c r="M38" s="17"/>
      <c r="N38" s="17"/>
      <c r="O38" s="17"/>
    </row>
    <row r="39" spans="1:15" x14ac:dyDescent="0.25">
      <c r="A39" s="21" t="s">
        <v>102</v>
      </c>
      <c r="B39" s="21" t="s">
        <v>103</v>
      </c>
      <c r="C39" s="21"/>
      <c r="D39" s="21"/>
      <c r="E39" s="21"/>
      <c r="F39" s="43"/>
      <c r="G39" s="21" t="s">
        <v>37</v>
      </c>
      <c r="H39" s="46" t="str">
        <f>IF(F39="","",ROUND(F39/100*$H$5,2))</f>
        <v/>
      </c>
      <c r="I39" s="21" t="s">
        <v>38</v>
      </c>
      <c r="J39" s="14"/>
      <c r="K39" s="28" t="str">
        <f>IF(F39="","Bitte ausfüllen!","")</f>
        <v>Bitte ausfüllen!</v>
      </c>
      <c r="L39" s="17"/>
      <c r="M39" s="17"/>
      <c r="N39" s="17"/>
      <c r="O39" s="17"/>
    </row>
    <row r="40" spans="1:15" x14ac:dyDescent="0.25">
      <c r="A40" s="21" t="s">
        <v>104</v>
      </c>
      <c r="B40" s="21" t="s">
        <v>105</v>
      </c>
      <c r="C40" s="21"/>
      <c r="D40" s="21"/>
      <c r="E40" s="21"/>
      <c r="F40" s="43"/>
      <c r="G40" s="21" t="s">
        <v>37</v>
      </c>
      <c r="H40" s="46" t="str">
        <f>IF(F40="","",ROUND(F40/100*$H$5,2))</f>
        <v/>
      </c>
      <c r="I40" s="21" t="s">
        <v>38</v>
      </c>
      <c r="J40" s="14"/>
      <c r="K40" s="28" t="str">
        <f>IF(F40="","Bitte ausfüllen!","")</f>
        <v>Bitte ausfüllen!</v>
      </c>
      <c r="L40" s="17"/>
      <c r="M40" s="17"/>
      <c r="N40" s="17"/>
      <c r="O40" s="17"/>
    </row>
    <row r="41" spans="1:15" x14ac:dyDescent="0.25">
      <c r="A41" s="21" t="s">
        <v>106</v>
      </c>
      <c r="B41" s="21" t="s">
        <v>107</v>
      </c>
      <c r="C41" s="21"/>
      <c r="D41" s="21"/>
      <c r="E41" s="21"/>
      <c r="F41" s="43"/>
      <c r="G41" s="21" t="s">
        <v>37</v>
      </c>
      <c r="H41" s="46" t="str">
        <f>IF(F41="","",ROUND(F41/100*$H$5,2))</f>
        <v/>
      </c>
      <c r="I41" s="21" t="s">
        <v>38</v>
      </c>
      <c r="J41" s="14"/>
      <c r="K41" s="28" t="str">
        <f>IF(F41="","Bitte ausfüllen!","")</f>
        <v>Bitte ausfüllen!</v>
      </c>
      <c r="L41" s="17"/>
      <c r="M41" s="17"/>
      <c r="N41" s="17"/>
      <c r="O41" s="17"/>
    </row>
    <row r="42" spans="1:15" ht="25.5" customHeight="1" x14ac:dyDescent="0.25">
      <c r="A42" s="48"/>
      <c r="B42" s="127" t="s">
        <v>108</v>
      </c>
      <c r="C42" s="127"/>
      <c r="D42" s="48"/>
      <c r="E42" s="48"/>
      <c r="F42" s="49" t="str">
        <f>IF(SUM(F38:F41)=0,"",SUM(F38:F41))</f>
        <v/>
      </c>
      <c r="G42" s="48" t="s">
        <v>37</v>
      </c>
      <c r="H42" s="50" t="str">
        <f>IF(COUNTIF(H38:H41,"")&gt;0,"",SUM(H38:H41))</f>
        <v/>
      </c>
      <c r="I42" s="48" t="s">
        <v>38</v>
      </c>
      <c r="J42" s="51"/>
      <c r="K42" s="28" t="str">
        <f>IF(H42="","Angaben offen!","")</f>
        <v>Angaben offen!</v>
      </c>
      <c r="L42" s="17"/>
      <c r="M42" s="17"/>
      <c r="N42" s="17"/>
      <c r="O42" s="17"/>
    </row>
    <row r="43" spans="1:15" x14ac:dyDescent="0.25">
      <c r="A43" s="21"/>
      <c r="B43" s="21"/>
      <c r="C43" s="21"/>
      <c r="D43" s="21"/>
      <c r="E43" s="21"/>
      <c r="F43" s="31"/>
      <c r="G43" s="21"/>
      <c r="H43" s="31"/>
      <c r="I43" s="21"/>
      <c r="J43" s="14"/>
      <c r="K43" s="14"/>
      <c r="L43" s="17"/>
      <c r="M43" s="17"/>
      <c r="N43" s="17"/>
      <c r="O43" s="17"/>
    </row>
    <row r="44" spans="1:15" x14ac:dyDescent="0.25">
      <c r="A44" s="25" t="s">
        <v>109</v>
      </c>
      <c r="B44" s="25" t="s">
        <v>110</v>
      </c>
      <c r="C44" s="25"/>
      <c r="D44" s="25"/>
      <c r="E44" s="25"/>
      <c r="F44" s="25"/>
      <c r="G44" s="25"/>
      <c r="H44" s="25"/>
      <c r="I44" s="25"/>
      <c r="J44" s="14"/>
      <c r="K44" s="14"/>
      <c r="L44" s="17"/>
      <c r="M44" s="17"/>
      <c r="N44" s="17"/>
      <c r="O44" s="17"/>
    </row>
    <row r="45" spans="1:15" x14ac:dyDescent="0.25">
      <c r="A45" s="21" t="s">
        <v>111</v>
      </c>
      <c r="B45" s="21" t="s">
        <v>112</v>
      </c>
      <c r="C45" s="21"/>
      <c r="D45" s="21"/>
      <c r="E45" s="21"/>
      <c r="F45" s="21"/>
      <c r="G45" s="21"/>
      <c r="H45" s="21"/>
      <c r="I45" s="21"/>
      <c r="J45" s="14"/>
      <c r="K45" s="14"/>
      <c r="L45" s="17"/>
      <c r="M45" s="17"/>
      <c r="N45" s="17"/>
      <c r="O45" s="17"/>
    </row>
    <row r="46" spans="1:15" x14ac:dyDescent="0.25">
      <c r="A46" s="21" t="s">
        <v>113</v>
      </c>
      <c r="B46" s="21"/>
      <c r="C46" s="21" t="s">
        <v>114</v>
      </c>
      <c r="D46" s="21"/>
      <c r="E46" s="21"/>
      <c r="F46" s="43"/>
      <c r="G46" s="21" t="s">
        <v>37</v>
      </c>
      <c r="H46" s="46" t="str">
        <f>IF(F46="","",ROUND(F46/100*$H$5,2))</f>
        <v/>
      </c>
      <c r="I46" s="21" t="s">
        <v>38</v>
      </c>
      <c r="J46" s="14"/>
      <c r="K46" s="28" t="str">
        <f>IF(F46="","Bitte ausfüllen!","")</f>
        <v>Bitte ausfüllen!</v>
      </c>
      <c r="L46" s="17"/>
      <c r="M46" s="17"/>
      <c r="N46" s="17"/>
      <c r="O46" s="17"/>
    </row>
    <row r="47" spans="1:15" x14ac:dyDescent="0.25">
      <c r="A47" s="21" t="s">
        <v>115</v>
      </c>
      <c r="B47" s="21"/>
      <c r="C47" s="21" t="s">
        <v>116</v>
      </c>
      <c r="D47" s="21"/>
      <c r="E47" s="21"/>
      <c r="F47" s="43"/>
      <c r="G47" s="21" t="s">
        <v>37</v>
      </c>
      <c r="H47" s="46" t="str">
        <f>IF(F47="","",ROUND(F47/100*$H$5,2))</f>
        <v/>
      </c>
      <c r="I47" s="21" t="s">
        <v>38</v>
      </c>
      <c r="J47" s="14"/>
      <c r="K47" s="28" t="str">
        <f>IF(F47="","Bitte ausfüllen!","")</f>
        <v>Bitte ausfüllen!</v>
      </c>
      <c r="L47" s="17"/>
      <c r="M47" s="17"/>
      <c r="N47" s="17"/>
      <c r="O47" s="17"/>
    </row>
    <row r="48" spans="1:15" x14ac:dyDescent="0.25">
      <c r="A48" s="21" t="s">
        <v>117</v>
      </c>
      <c r="B48" s="21" t="s">
        <v>118</v>
      </c>
      <c r="C48" s="21"/>
      <c r="D48" s="21"/>
      <c r="E48" s="21"/>
      <c r="F48" s="43"/>
      <c r="G48" s="21" t="s">
        <v>37</v>
      </c>
      <c r="H48" s="46" t="str">
        <f>IF(F48="","",ROUND(F48/100*$H$5,2))</f>
        <v/>
      </c>
      <c r="I48" s="21" t="s">
        <v>38</v>
      </c>
      <c r="J48" s="14"/>
      <c r="K48" s="28" t="str">
        <f>IF(F48="","Bitte ausfüllen!","")</f>
        <v>Bitte ausfüllen!</v>
      </c>
      <c r="L48" s="17"/>
      <c r="M48" s="17"/>
      <c r="N48" s="17"/>
      <c r="O48" s="17"/>
    </row>
    <row r="49" spans="1:15" x14ac:dyDescent="0.25">
      <c r="A49" s="21" t="s">
        <v>119</v>
      </c>
      <c r="B49" s="21" t="s">
        <v>120</v>
      </c>
      <c r="C49" s="21"/>
      <c r="D49" s="21"/>
      <c r="E49" s="21"/>
      <c r="F49" s="21"/>
      <c r="G49" s="21"/>
      <c r="H49" s="21"/>
      <c r="I49" s="21"/>
      <c r="J49" s="14"/>
      <c r="K49" s="14"/>
      <c r="L49" s="17"/>
      <c r="M49" s="17"/>
      <c r="N49" s="17"/>
      <c r="O49" s="17"/>
    </row>
    <row r="50" spans="1:15" x14ac:dyDescent="0.25">
      <c r="A50" s="21" t="s">
        <v>121</v>
      </c>
      <c r="B50" s="21"/>
      <c r="C50" s="21" t="s">
        <v>122</v>
      </c>
      <c r="D50" s="21"/>
      <c r="E50" s="21"/>
      <c r="F50" s="43"/>
      <c r="G50" s="21" t="s">
        <v>37</v>
      </c>
      <c r="H50" s="46" t="str">
        <f t="shared" ref="H50:H56" si="1">IF(F50="","",ROUND(F50/100*$H$5,2))</f>
        <v/>
      </c>
      <c r="I50" s="21" t="s">
        <v>38</v>
      </c>
      <c r="J50" s="14"/>
      <c r="K50" s="28" t="str">
        <f t="shared" ref="K50:K56" si="2">IF(F50="","Bitte ausfüllen!","")</f>
        <v>Bitte ausfüllen!</v>
      </c>
      <c r="L50" s="17"/>
      <c r="M50" s="17"/>
      <c r="N50" s="17"/>
      <c r="O50" s="17"/>
    </row>
    <row r="51" spans="1:15" x14ac:dyDescent="0.25">
      <c r="A51" s="21" t="s">
        <v>123</v>
      </c>
      <c r="B51" s="21"/>
      <c r="C51" s="21" t="s">
        <v>124</v>
      </c>
      <c r="D51" s="21"/>
      <c r="E51" s="21"/>
      <c r="F51" s="43"/>
      <c r="G51" s="21" t="s">
        <v>37</v>
      </c>
      <c r="H51" s="46" t="str">
        <f t="shared" si="1"/>
        <v/>
      </c>
      <c r="I51" s="21" t="s">
        <v>38</v>
      </c>
      <c r="J51" s="14"/>
      <c r="K51" s="28" t="str">
        <f t="shared" si="2"/>
        <v>Bitte ausfüllen!</v>
      </c>
      <c r="L51" s="17"/>
      <c r="M51" s="17"/>
      <c r="N51" s="17"/>
      <c r="O51" s="17"/>
    </row>
    <row r="52" spans="1:15" x14ac:dyDescent="0.25">
      <c r="A52" s="21" t="s">
        <v>125</v>
      </c>
      <c r="B52" s="21" t="s">
        <v>126</v>
      </c>
      <c r="C52" s="21"/>
      <c r="D52" s="21"/>
      <c r="E52" s="21"/>
      <c r="F52" s="43"/>
      <c r="G52" s="21" t="s">
        <v>37</v>
      </c>
      <c r="H52" s="46" t="str">
        <f t="shared" si="1"/>
        <v/>
      </c>
      <c r="I52" s="21" t="s">
        <v>38</v>
      </c>
      <c r="J52" s="14"/>
      <c r="K52" s="28" t="str">
        <f t="shared" si="2"/>
        <v>Bitte ausfüllen!</v>
      </c>
      <c r="L52" s="17"/>
      <c r="M52" s="17"/>
      <c r="N52" s="17"/>
      <c r="O52" s="17"/>
    </row>
    <row r="53" spans="1:15" x14ac:dyDescent="0.25">
      <c r="A53" s="21" t="s">
        <v>127</v>
      </c>
      <c r="B53" s="21" t="s">
        <v>128</v>
      </c>
      <c r="C53" s="21"/>
      <c r="D53" s="21"/>
      <c r="E53" s="21"/>
      <c r="F53" s="43"/>
      <c r="G53" s="21" t="s">
        <v>37</v>
      </c>
      <c r="H53" s="46" t="str">
        <f t="shared" si="1"/>
        <v/>
      </c>
      <c r="I53" s="21" t="s">
        <v>38</v>
      </c>
      <c r="J53" s="14"/>
      <c r="K53" s="28" t="str">
        <f t="shared" si="2"/>
        <v>Bitte ausfüllen!</v>
      </c>
      <c r="L53" s="17"/>
      <c r="M53" s="17"/>
      <c r="N53" s="17"/>
      <c r="O53" s="17"/>
    </row>
    <row r="54" spans="1:15" x14ac:dyDescent="0.25">
      <c r="A54" s="21" t="s">
        <v>129</v>
      </c>
      <c r="B54" s="21" t="s">
        <v>130</v>
      </c>
      <c r="C54" s="21"/>
      <c r="D54" s="21"/>
      <c r="E54" s="21"/>
      <c r="F54" s="43"/>
      <c r="G54" s="21" t="s">
        <v>37</v>
      </c>
      <c r="H54" s="46" t="str">
        <f t="shared" si="1"/>
        <v/>
      </c>
      <c r="I54" s="21" t="s">
        <v>38</v>
      </c>
      <c r="J54" s="14"/>
      <c r="K54" s="28" t="str">
        <f t="shared" si="2"/>
        <v>Bitte ausfüllen!</v>
      </c>
      <c r="L54" s="17"/>
      <c r="M54" s="17"/>
      <c r="N54" s="17"/>
      <c r="O54" s="17"/>
    </row>
    <row r="55" spans="1:15" x14ac:dyDescent="0.25">
      <c r="A55" s="21" t="s">
        <v>131</v>
      </c>
      <c r="B55" s="21" t="s">
        <v>132</v>
      </c>
      <c r="C55" s="21"/>
      <c r="D55" s="21"/>
      <c r="E55" s="21"/>
      <c r="F55" s="43"/>
      <c r="G55" s="21" t="s">
        <v>37</v>
      </c>
      <c r="H55" s="46" t="str">
        <f t="shared" si="1"/>
        <v/>
      </c>
      <c r="I55" s="21" t="s">
        <v>38</v>
      </c>
      <c r="J55" s="14"/>
      <c r="K55" s="28" t="str">
        <f t="shared" si="2"/>
        <v>Bitte ausfüllen!</v>
      </c>
      <c r="L55" s="17"/>
      <c r="M55" s="17"/>
      <c r="N55" s="17"/>
      <c r="O55" s="17"/>
    </row>
    <row r="56" spans="1:15" x14ac:dyDescent="0.25">
      <c r="A56" s="21" t="s">
        <v>133</v>
      </c>
      <c r="B56" s="21" t="s">
        <v>134</v>
      </c>
      <c r="C56" s="21"/>
      <c r="D56" s="21"/>
      <c r="E56" s="21"/>
      <c r="F56" s="43"/>
      <c r="G56" s="21" t="s">
        <v>37</v>
      </c>
      <c r="H56" s="46" t="str">
        <f t="shared" si="1"/>
        <v/>
      </c>
      <c r="I56" s="21" t="s">
        <v>38</v>
      </c>
      <c r="J56" s="14"/>
      <c r="K56" s="28" t="str">
        <f t="shared" si="2"/>
        <v>Bitte ausfüllen!</v>
      </c>
      <c r="L56" s="17"/>
      <c r="M56" s="17"/>
      <c r="N56" s="17"/>
      <c r="O56" s="17"/>
    </row>
    <row r="57" spans="1:15" ht="24.75" customHeight="1" x14ac:dyDescent="0.25">
      <c r="A57" s="48"/>
      <c r="B57" s="127" t="s">
        <v>135</v>
      </c>
      <c r="C57" s="127"/>
      <c r="D57" s="48"/>
      <c r="E57" s="48"/>
      <c r="F57" s="49" t="str">
        <f>IF(SUM(F45:F56)=0,"",SUM(F45:F56))</f>
        <v/>
      </c>
      <c r="G57" s="48" t="s">
        <v>37</v>
      </c>
      <c r="H57" s="50" t="str">
        <f>IF(COUNTIF(H46:H56,"")&gt;1,"",SUM(H46:H56))</f>
        <v/>
      </c>
      <c r="I57" s="48" t="s">
        <v>38</v>
      </c>
      <c r="J57" s="51"/>
      <c r="K57" s="28" t="str">
        <f>IF(H57="","Angaben offen!","")</f>
        <v>Angaben offen!</v>
      </c>
      <c r="L57" s="17"/>
      <c r="M57" s="17"/>
      <c r="N57" s="17"/>
      <c r="O57" s="17"/>
    </row>
    <row r="58" spans="1:15" x14ac:dyDescent="0.25">
      <c r="A58" s="21"/>
      <c r="B58" s="21"/>
      <c r="C58" s="21"/>
      <c r="D58" s="21"/>
      <c r="E58" s="21"/>
      <c r="F58" s="31"/>
      <c r="G58" s="21"/>
      <c r="H58" s="31"/>
      <c r="I58" s="21"/>
      <c r="J58" s="14"/>
      <c r="K58" s="14"/>
      <c r="L58" s="17"/>
      <c r="M58" s="17"/>
      <c r="N58" s="17"/>
      <c r="O58" s="17"/>
    </row>
    <row r="59" spans="1:15" x14ac:dyDescent="0.25">
      <c r="A59" s="25" t="s">
        <v>136</v>
      </c>
      <c r="B59" s="125" t="s">
        <v>137</v>
      </c>
      <c r="C59" s="125"/>
      <c r="D59" s="25"/>
      <c r="E59" s="25"/>
      <c r="F59" s="53" t="str">
        <f>IF(AND(F34=""),"",F34+F42+F57+F5)</f>
        <v/>
      </c>
      <c r="G59" s="25" t="s">
        <v>37</v>
      </c>
      <c r="H59" s="33" t="str">
        <f>IF(H57="","",H34+H42+H57+H5)</f>
        <v/>
      </c>
      <c r="I59" s="25" t="s">
        <v>38</v>
      </c>
      <c r="J59" s="14"/>
      <c r="K59" s="14"/>
      <c r="L59" s="17"/>
      <c r="M59" s="17"/>
      <c r="N59" s="17"/>
      <c r="O59" s="17"/>
    </row>
    <row r="60" spans="1:15" x14ac:dyDescent="0.25">
      <c r="A60" s="25" t="s">
        <v>138</v>
      </c>
      <c r="B60" s="25" t="s">
        <v>139</v>
      </c>
      <c r="C60" s="25"/>
      <c r="D60" s="25"/>
      <c r="E60" s="25"/>
      <c r="F60" s="43"/>
      <c r="G60" s="25" t="s">
        <v>37</v>
      </c>
      <c r="H60" s="41" t="str">
        <f>IF(F60="","",ROUND(F60/100*H59,2))</f>
        <v/>
      </c>
      <c r="I60" s="25" t="s">
        <v>38</v>
      </c>
      <c r="J60" s="14"/>
      <c r="K60" s="28" t="str">
        <f>IF(F60="","Bitte ausfüllen!","")</f>
        <v>Bitte ausfüllen!</v>
      </c>
      <c r="L60" s="17"/>
      <c r="M60" s="17"/>
      <c r="N60" s="17"/>
      <c r="O60" s="17"/>
    </row>
    <row r="61" spans="1:15" x14ac:dyDescent="0.25">
      <c r="A61" s="25"/>
      <c r="B61" s="25" t="s">
        <v>140</v>
      </c>
      <c r="C61" s="25"/>
      <c r="D61" s="25"/>
      <c r="E61" s="25"/>
      <c r="F61" s="40" t="str">
        <f ca="1">IF(H61="","",H61/H5*100)</f>
        <v/>
      </c>
      <c r="G61" s="25" t="s">
        <v>37</v>
      </c>
      <c r="H61" s="41" t="str">
        <f ca="1">IF(SUM(COUNTIF(INDIRECT({"H5","F9:F13","D17:D26","F27:F28","F32:F33","F38:F41","F46:F48","F50:F56","F60","H65:H68"}),""))&gt;0,"",H59+H60)</f>
        <v/>
      </c>
      <c r="I61" s="25" t="s">
        <v>38</v>
      </c>
      <c r="J61" s="14"/>
      <c r="K61" s="28" t="str">
        <f ca="1">IF(SUM(COUNTIF(INDIRECT({"H5","F9:F13","D17:D26","F27:F28","F32:F33","F38:F41","F46:F48","F50:F56","F60","H65:H68"}),""))&gt;0,SUM(COUNTIF(INDIRECT({"H5","F9:F13","D17:D26","F27:F28","F32:F33","F38:F41","F46:F48","F50:F56","F60","H65:H68"}),"")) &amp;" Zelle(n) ohne Wert!","")</f>
        <v>34 Zelle(n) ohne Wert!</v>
      </c>
      <c r="L61" s="17"/>
      <c r="M61" s="17"/>
      <c r="N61" s="17"/>
      <c r="O61" s="17"/>
    </row>
    <row r="62" spans="1:15" x14ac:dyDescent="0.25">
      <c r="A62" s="21"/>
      <c r="B62" s="21" t="s">
        <v>141</v>
      </c>
      <c r="C62" s="21"/>
      <c r="D62" s="21"/>
      <c r="E62" s="21"/>
      <c r="F62" s="40" t="str">
        <f ca="1">IF(F61="","",F61-F5)</f>
        <v/>
      </c>
      <c r="G62" s="21" t="s">
        <v>37</v>
      </c>
      <c r="H62" s="42"/>
      <c r="I62" s="21"/>
      <c r="J62" s="14"/>
      <c r="K62" s="14"/>
      <c r="L62" s="17"/>
      <c r="M62" s="17"/>
      <c r="N62" s="17"/>
      <c r="O62" s="17"/>
    </row>
    <row r="63" spans="1:15" x14ac:dyDescent="0.25">
      <c r="A63" s="21"/>
      <c r="B63" s="25"/>
      <c r="C63" s="21"/>
      <c r="D63" s="21"/>
      <c r="E63" s="21"/>
      <c r="F63" s="53"/>
      <c r="G63" s="21"/>
      <c r="H63" s="33"/>
      <c r="I63" s="14"/>
      <c r="J63" s="14"/>
      <c r="K63" s="14"/>
      <c r="L63" s="17"/>
      <c r="M63" s="17"/>
      <c r="N63" s="17"/>
      <c r="O63" s="17"/>
    </row>
    <row r="64" spans="1:15" x14ac:dyDescent="0.25">
      <c r="A64" s="14"/>
      <c r="B64" s="25" t="s">
        <v>142</v>
      </c>
      <c r="C64" s="14"/>
      <c r="D64" s="25"/>
      <c r="E64" s="25"/>
      <c r="F64" s="14"/>
      <c r="G64" s="25"/>
      <c r="H64" s="33" t="s">
        <v>143</v>
      </c>
      <c r="I64" s="25"/>
      <c r="J64" s="14"/>
      <c r="K64" s="14"/>
      <c r="L64" s="17"/>
      <c r="M64" s="17"/>
      <c r="N64" s="17"/>
      <c r="O64" s="17"/>
    </row>
    <row r="65" spans="1:15" x14ac:dyDescent="0.25">
      <c r="A65" s="14"/>
      <c r="B65" s="21" t="s">
        <v>144</v>
      </c>
      <c r="C65" s="14"/>
      <c r="D65" s="21"/>
      <c r="E65" s="21"/>
      <c r="F65" s="14"/>
      <c r="G65" s="54"/>
      <c r="H65" s="55"/>
      <c r="I65" s="54"/>
      <c r="J65" s="14"/>
      <c r="K65" s="28" t="str">
        <f>IF(H65="","Bitte ausfüllen!","")</f>
        <v>Bitte ausfüllen!</v>
      </c>
      <c r="L65" s="17"/>
      <c r="M65" s="17"/>
      <c r="N65" s="17"/>
      <c r="O65" s="17"/>
    </row>
    <row r="66" spans="1:15" x14ac:dyDescent="0.25">
      <c r="A66" s="14"/>
      <c r="B66" s="21" t="s">
        <v>145</v>
      </c>
      <c r="C66" s="14"/>
      <c r="D66" s="21"/>
      <c r="E66" s="21"/>
      <c r="F66" s="14"/>
      <c r="G66" s="54"/>
      <c r="H66" s="56"/>
      <c r="I66" s="54"/>
      <c r="J66" s="14"/>
      <c r="K66" s="28" t="str">
        <f>IF(H66="","Bitte ausfüllen!","")</f>
        <v>Bitte ausfüllen!</v>
      </c>
      <c r="L66" s="17"/>
      <c r="M66" s="17"/>
      <c r="N66" s="17"/>
      <c r="O66" s="17"/>
    </row>
    <row r="67" spans="1:15" x14ac:dyDescent="0.25">
      <c r="A67" s="14"/>
      <c r="B67" s="21" t="s">
        <v>146</v>
      </c>
      <c r="C67" s="14"/>
      <c r="D67" s="21"/>
      <c r="E67" s="21"/>
      <c r="F67" s="14"/>
      <c r="G67" s="54"/>
      <c r="H67" s="57"/>
      <c r="I67" s="54"/>
      <c r="J67" s="14"/>
      <c r="K67" s="28" t="str">
        <f>IF(H67="","Bitte ausfüllen!","")</f>
        <v>Bitte ausfüllen!</v>
      </c>
      <c r="L67" s="17"/>
      <c r="M67" s="17"/>
      <c r="N67" s="17"/>
      <c r="O67" s="17"/>
    </row>
    <row r="68" spans="1:15" x14ac:dyDescent="0.25">
      <c r="A68" s="14"/>
      <c r="B68" s="21" t="s">
        <v>147</v>
      </c>
      <c r="C68" s="14"/>
      <c r="D68" s="21"/>
      <c r="E68" s="21"/>
      <c r="F68" s="14"/>
      <c r="G68" s="54"/>
      <c r="H68" s="56"/>
      <c r="I68" s="54"/>
      <c r="J68" s="14"/>
      <c r="K68" s="28" t="str">
        <f>IF(H68="","Bitte ausfüllen!","")</f>
        <v>Bitte ausfüllen!</v>
      </c>
      <c r="L68" s="17"/>
      <c r="M68" s="17"/>
      <c r="N68" s="17"/>
      <c r="O68" s="17"/>
    </row>
    <row r="69" spans="1:15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7"/>
      <c r="M69" s="17"/>
      <c r="N69" s="17"/>
      <c r="O69" s="17"/>
    </row>
    <row r="70" spans="1:15" x14ac:dyDescent="0.25">
      <c r="A70" s="51"/>
      <c r="B70" s="51"/>
      <c r="C70" s="58"/>
      <c r="D70" s="18"/>
      <c r="E70" s="14"/>
      <c r="F70" s="14"/>
      <c r="G70" s="14"/>
      <c r="H70" s="14"/>
      <c r="I70" s="14"/>
      <c r="J70" s="14"/>
      <c r="K70" s="14"/>
      <c r="L70" s="17"/>
      <c r="M70" s="17"/>
      <c r="N70" s="17"/>
      <c r="O70" s="17"/>
    </row>
    <row r="71" spans="1:15" x14ac:dyDescent="0.25">
      <c r="A71" s="51"/>
      <c r="B71" s="51"/>
      <c r="C71" s="59"/>
      <c r="D71" s="14"/>
      <c r="E71" s="14"/>
      <c r="F71" s="14"/>
      <c r="G71" s="14"/>
      <c r="H71" s="14"/>
      <c r="I71" s="14"/>
      <c r="J71" s="14"/>
      <c r="K71" s="14"/>
      <c r="L71" s="17"/>
      <c r="M71" s="17"/>
      <c r="N71" s="17"/>
      <c r="O71" s="17"/>
    </row>
    <row r="72" spans="1:15" ht="21" x14ac:dyDescent="0.25">
      <c r="A72" s="123" t="s">
        <v>148</v>
      </c>
      <c r="B72" s="123"/>
      <c r="C72" s="123"/>
      <c r="D72" s="60" t="s">
        <v>329</v>
      </c>
      <c r="E72" s="14"/>
      <c r="F72" s="123" t="s">
        <v>149</v>
      </c>
      <c r="G72" s="123"/>
      <c r="H72" s="123"/>
      <c r="I72" s="25"/>
      <c r="J72" s="25"/>
      <c r="K72" s="48"/>
      <c r="L72" s="17"/>
      <c r="M72" s="17"/>
      <c r="N72" s="17"/>
      <c r="O72" s="17"/>
    </row>
    <row r="73" spans="1:15" x14ac:dyDescent="0.25">
      <c r="A73" s="122">
        <v>1</v>
      </c>
      <c r="B73" s="122"/>
      <c r="C73" s="62" t="s">
        <v>150</v>
      </c>
      <c r="D73" s="63"/>
      <c r="E73" s="14"/>
      <c r="F73" s="124" t="s">
        <v>151</v>
      </c>
      <c r="G73" s="124"/>
      <c r="H73" s="124"/>
      <c r="I73" s="14"/>
      <c r="J73" s="14"/>
      <c r="K73" s="14"/>
      <c r="L73" s="17"/>
      <c r="M73" s="17"/>
      <c r="N73" s="17"/>
      <c r="O73" s="17"/>
    </row>
    <row r="74" spans="1:15" x14ac:dyDescent="0.25">
      <c r="A74" s="122">
        <v>2</v>
      </c>
      <c r="B74" s="122"/>
      <c r="C74" s="62" t="s">
        <v>152</v>
      </c>
      <c r="D74" s="63"/>
      <c r="E74" s="14"/>
      <c r="F74" s="14"/>
      <c r="G74" s="14"/>
      <c r="H74" s="14"/>
      <c r="I74" s="14"/>
      <c r="J74" s="14"/>
      <c r="K74" s="14"/>
      <c r="L74" s="17"/>
      <c r="M74" s="17"/>
      <c r="N74" s="17"/>
      <c r="O74" s="17"/>
    </row>
    <row r="75" spans="1:15" ht="21" x14ac:dyDescent="0.25">
      <c r="A75" s="122">
        <v>3</v>
      </c>
      <c r="B75" s="122"/>
      <c r="C75" s="62" t="s">
        <v>153</v>
      </c>
      <c r="D75" s="63"/>
      <c r="E75" s="14"/>
      <c r="F75" s="14"/>
      <c r="G75" s="14"/>
      <c r="H75" s="14"/>
      <c r="I75" s="14"/>
      <c r="J75" s="14"/>
      <c r="K75" s="14"/>
      <c r="L75" s="17"/>
      <c r="M75" s="17"/>
      <c r="N75" s="17"/>
      <c r="O75" s="17"/>
    </row>
    <row r="76" spans="1:15" ht="21" x14ac:dyDescent="0.25">
      <c r="A76" s="122">
        <v>4</v>
      </c>
      <c r="B76" s="122"/>
      <c r="C76" s="62" t="s">
        <v>154</v>
      </c>
      <c r="D76" s="63"/>
      <c r="E76" s="14"/>
      <c r="F76" s="14"/>
      <c r="G76" s="14"/>
      <c r="H76" s="14"/>
      <c r="I76" s="14"/>
      <c r="J76" s="14"/>
      <c r="K76" s="14"/>
      <c r="L76" s="17"/>
      <c r="M76" s="17"/>
      <c r="N76" s="17"/>
      <c r="O76" s="17"/>
    </row>
    <row r="77" spans="1:15" ht="21" x14ac:dyDescent="0.25">
      <c r="A77" s="122">
        <v>5</v>
      </c>
      <c r="B77" s="122"/>
      <c r="C77" s="62" t="s">
        <v>155</v>
      </c>
      <c r="D77" s="63"/>
      <c r="E77" s="14"/>
      <c r="F77" s="14"/>
      <c r="G77" s="14"/>
      <c r="H77" s="14"/>
      <c r="I77" s="14"/>
      <c r="J77" s="14"/>
      <c r="K77" s="14"/>
      <c r="L77" s="17"/>
      <c r="M77" s="17"/>
      <c r="N77" s="17"/>
      <c r="O77" s="17"/>
    </row>
    <row r="78" spans="1:15" ht="21" x14ac:dyDescent="0.25">
      <c r="A78" s="122">
        <v>6</v>
      </c>
      <c r="B78" s="122"/>
      <c r="C78" s="62" t="s">
        <v>156</v>
      </c>
      <c r="D78" s="63"/>
      <c r="E78" s="14"/>
      <c r="F78" s="14"/>
      <c r="G78" s="14"/>
      <c r="H78" s="14"/>
      <c r="I78" s="14"/>
      <c r="J78" s="14"/>
      <c r="K78" s="14"/>
      <c r="L78" s="17"/>
      <c r="M78" s="17"/>
      <c r="N78" s="17"/>
      <c r="O78" s="17"/>
    </row>
    <row r="79" spans="1:15" ht="21" x14ac:dyDescent="0.25">
      <c r="A79" s="122">
        <v>7</v>
      </c>
      <c r="B79" s="122"/>
      <c r="C79" s="62" t="s">
        <v>157</v>
      </c>
      <c r="D79" s="63"/>
      <c r="E79" s="14"/>
      <c r="F79" s="14"/>
      <c r="G79" s="14"/>
      <c r="H79" s="14"/>
      <c r="I79" s="14"/>
      <c r="J79" s="14"/>
      <c r="K79" s="14"/>
      <c r="L79" s="17"/>
      <c r="M79" s="17"/>
      <c r="N79" s="17"/>
      <c r="O79" s="17"/>
    </row>
    <row r="80" spans="1:15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7"/>
      <c r="M80" s="17"/>
      <c r="N80" s="17"/>
      <c r="O80" s="17"/>
    </row>
  </sheetData>
  <sheetProtection algorithmName="SHA-512" hashValue="LXZlaMVc6es/vcVkYMs4tLHL3auVRQOFwI14ja8mdYnz+ZqsFMvpQe7kFM0MrBrI+qSmbUCp0j+bi5XZhCkz+g==" saltValue="9MeeGPr10wuB4aNIkGMLGA==" spinCount="100000" sheet="1" objects="1" scenarios="1" formatCells="0" formatColumns="0" formatRows="0" insertColumns="0" insertRows="0" insertHyperlinks="0" deleteColumns="0" deleteRows="0"/>
  <protectedRanges>
    <protectedRange sqref="D73:D79 H65:H68 F60 F50:F56 F46:F48 F38:F41 F32:F33 F27:F28 D25 D23 D21 D19 D17 F9:F13 H5 M3:Q3" name="Bereich1"/>
  </protectedRanges>
  <mergeCells count="16">
    <mergeCell ref="B59:C59"/>
    <mergeCell ref="A3:I3"/>
    <mergeCell ref="B29:C29"/>
    <mergeCell ref="B34:C34"/>
    <mergeCell ref="B42:C42"/>
    <mergeCell ref="B57:C57"/>
    <mergeCell ref="F72:H72"/>
    <mergeCell ref="A73:B73"/>
    <mergeCell ref="F73:H73"/>
    <mergeCell ref="A74:B74"/>
    <mergeCell ref="A75:B75"/>
    <mergeCell ref="A76:B76"/>
    <mergeCell ref="A77:B77"/>
    <mergeCell ref="A78:B78"/>
    <mergeCell ref="A79:B79"/>
    <mergeCell ref="A72:C72"/>
  </mergeCells>
  <dataValidations disablePrompts="1" count="1">
    <dataValidation type="decimal" errorStyle="warning" allowBlank="1" showInputMessage="1" showErrorMessage="1" error="Bitte überprüfen Sie Ihre Eingaben." sqref="C25" xr:uid="{7B9B8E96-35BF-4E5A-8BC0-BF5F3134A4EA}">
      <formula1>8.5</formula1>
      <formula2>84</formula2>
    </dataValidation>
  </dataValidations>
  <hyperlinks>
    <hyperlink ref="L1" location="Inhaltsverzeichnis!A1" display="Zurück zum Inhaltsverzeichnis" xr:uid="{67BC2C23-E70D-4DFB-AA39-0C3D7202B566}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950DC-0527-40F2-8609-CF10BB96483E}">
  <dimension ref="A1:K79"/>
  <sheetViews>
    <sheetView topLeftCell="A49" workbookViewId="0">
      <selection activeCell="Q70" sqref="Q70"/>
    </sheetView>
  </sheetViews>
  <sheetFormatPr baseColWidth="10" defaultRowHeight="15" x14ac:dyDescent="0.25"/>
  <cols>
    <col min="1" max="1" width="10.140625" customWidth="1"/>
    <col min="2" max="2" width="3.140625" customWidth="1"/>
    <col min="3" max="3" width="47.5703125" customWidth="1"/>
    <col min="5" max="5" width="3.28515625" customWidth="1"/>
    <col min="7" max="7" width="3.42578125" customWidth="1"/>
    <col min="9" max="9" width="2.85546875" customWidth="1"/>
    <col min="10" max="10" width="1.42578125" customWidth="1"/>
  </cols>
  <sheetData>
    <row r="1" spans="1:11" x14ac:dyDescent="0.25">
      <c r="A1" s="13" t="str">
        <f ca="1">IF(H61&lt;&gt;"","","Bitte alle gelben Zellen ausfüllen. Nicht benötigte Positionen sind eindeutig mit einer 0 zu kennzeichnen!")</f>
        <v>Bitte alle gelben Zellen ausfüllen. Nicht benötigte Positionen sind eindeutig mit einer 0 zu kennzeichnen!</v>
      </c>
      <c r="B1" s="51"/>
      <c r="C1" s="51"/>
      <c r="D1" s="51"/>
      <c r="E1" s="51"/>
      <c r="F1" s="51"/>
      <c r="G1" s="51"/>
      <c r="H1" s="51"/>
      <c r="I1" s="51"/>
      <c r="J1" s="51"/>
      <c r="K1" s="15" t="s">
        <v>19</v>
      </c>
    </row>
    <row r="2" spans="1:11" x14ac:dyDescent="0.25">
      <c r="A2" s="51" t="s">
        <v>20</v>
      </c>
      <c r="B2" s="51"/>
      <c r="C2" s="64" t="str">
        <f>IF(Inhaltsverzeichnis!B2="", "",Inhaltsverzeichnis!B2)</f>
        <v/>
      </c>
      <c r="D2" s="51"/>
      <c r="E2" s="51"/>
      <c r="F2" s="51"/>
      <c r="G2" s="51"/>
      <c r="H2" s="51"/>
      <c r="I2" s="51"/>
      <c r="J2" s="51"/>
      <c r="K2" s="14"/>
    </row>
    <row r="3" spans="1:11" x14ac:dyDescent="0.25">
      <c r="A3" s="129" t="s">
        <v>160</v>
      </c>
      <c r="B3" s="129"/>
      <c r="C3" s="129"/>
      <c r="D3" s="129"/>
      <c r="E3" s="129"/>
      <c r="F3" s="129"/>
      <c r="G3" s="129"/>
      <c r="H3" s="129"/>
      <c r="I3" s="129"/>
      <c r="J3" s="51"/>
      <c r="K3" s="14"/>
    </row>
    <row r="4" spans="1:11" x14ac:dyDescent="0.25">
      <c r="A4" s="42"/>
      <c r="B4" s="42"/>
      <c r="C4" s="42"/>
      <c r="D4" s="42"/>
      <c r="E4" s="42"/>
      <c r="F4" s="42"/>
      <c r="G4" s="42"/>
      <c r="H4" s="42"/>
      <c r="I4" s="42"/>
      <c r="J4" s="51"/>
      <c r="K4" s="14"/>
    </row>
    <row r="5" spans="1:11" x14ac:dyDescent="0.25">
      <c r="A5" s="48" t="s">
        <v>35</v>
      </c>
      <c r="B5" s="48" t="s">
        <v>36</v>
      </c>
      <c r="C5" s="48"/>
      <c r="D5" s="48"/>
      <c r="E5" s="48"/>
      <c r="F5" s="65">
        <v>100</v>
      </c>
      <c r="G5" s="48" t="s">
        <v>37</v>
      </c>
      <c r="H5" s="66"/>
      <c r="I5" s="48" t="s">
        <v>38</v>
      </c>
      <c r="J5" s="51"/>
      <c r="K5" s="28" t="str">
        <f>IF(H5="","Bitte ausfüllen!","")</f>
        <v>Bitte ausfüllen!</v>
      </c>
    </row>
    <row r="6" spans="1:11" x14ac:dyDescent="0.25">
      <c r="A6" s="42"/>
      <c r="B6" s="42"/>
      <c r="C6" s="42"/>
      <c r="D6" s="42"/>
      <c r="E6" s="42"/>
      <c r="F6" s="67"/>
      <c r="G6" s="42"/>
      <c r="H6" s="67"/>
      <c r="I6" s="42"/>
      <c r="J6" s="51"/>
      <c r="K6" s="14"/>
    </row>
    <row r="7" spans="1:11" x14ac:dyDescent="0.25">
      <c r="A7" s="48" t="s">
        <v>42</v>
      </c>
      <c r="B7" s="48" t="s">
        <v>43</v>
      </c>
      <c r="C7" s="48"/>
      <c r="D7" s="48"/>
      <c r="E7" s="48"/>
      <c r="F7" s="68"/>
      <c r="G7" s="48"/>
      <c r="H7" s="68"/>
      <c r="I7" s="48"/>
      <c r="J7" s="51"/>
      <c r="K7" s="14"/>
    </row>
    <row r="8" spans="1:11" x14ac:dyDescent="0.25">
      <c r="A8" s="42" t="s">
        <v>45</v>
      </c>
      <c r="B8" s="42" t="s">
        <v>46</v>
      </c>
      <c r="C8" s="42"/>
      <c r="D8" s="42"/>
      <c r="E8" s="42"/>
      <c r="F8" s="68"/>
      <c r="G8" s="68"/>
      <c r="H8" s="68"/>
      <c r="I8" s="68"/>
      <c r="J8" s="51"/>
      <c r="K8" s="35"/>
    </row>
    <row r="9" spans="1:11" x14ac:dyDescent="0.25">
      <c r="A9" s="42" t="s">
        <v>47</v>
      </c>
      <c r="B9" s="42"/>
      <c r="C9" s="42" t="s">
        <v>48</v>
      </c>
      <c r="D9" s="42"/>
      <c r="E9" s="42"/>
      <c r="F9" s="36"/>
      <c r="G9" s="42" t="s">
        <v>37</v>
      </c>
      <c r="H9" s="37" t="str">
        <f>IF(F9="","",ROUND(F9/100*$H$5,2))</f>
        <v/>
      </c>
      <c r="I9" s="42" t="s">
        <v>38</v>
      </c>
      <c r="J9" s="51"/>
      <c r="K9" s="28" t="str">
        <f>IF(F9="","Bitte ausfüllen!","")</f>
        <v>Bitte ausfüllen!</v>
      </c>
    </row>
    <row r="10" spans="1:11" x14ac:dyDescent="0.25">
      <c r="A10" s="42" t="s">
        <v>50</v>
      </c>
      <c r="B10" s="42"/>
      <c r="C10" s="42" t="s">
        <v>51</v>
      </c>
      <c r="D10" s="42"/>
      <c r="E10" s="42"/>
      <c r="F10" s="36"/>
      <c r="G10" s="42" t="s">
        <v>37</v>
      </c>
      <c r="H10" s="37" t="str">
        <f>IF(F10="","",ROUND(F10/100*$H$5,2))</f>
        <v/>
      </c>
      <c r="I10" s="42" t="s">
        <v>38</v>
      </c>
      <c r="J10" s="51"/>
      <c r="K10" s="28" t="str">
        <f>IF(F10="","Bitte ausfüllen!","")</f>
        <v>Bitte ausfüllen!</v>
      </c>
    </row>
    <row r="11" spans="1:11" x14ac:dyDescent="0.25">
      <c r="A11" s="42" t="s">
        <v>53</v>
      </c>
      <c r="B11" s="42"/>
      <c r="C11" s="42" t="s">
        <v>54</v>
      </c>
      <c r="D11" s="42"/>
      <c r="E11" s="42"/>
      <c r="F11" s="36"/>
      <c r="G11" s="42" t="s">
        <v>37</v>
      </c>
      <c r="H11" s="37" t="str">
        <f>IF(F11="","",ROUND(F11/100*$H$5,2))</f>
        <v/>
      </c>
      <c r="I11" s="42" t="s">
        <v>38</v>
      </c>
      <c r="J11" s="51"/>
      <c r="K11" s="28" t="str">
        <f>IF(F11="","Bitte ausfüllen!","")</f>
        <v>Bitte ausfüllen!</v>
      </c>
    </row>
    <row r="12" spans="1:11" x14ac:dyDescent="0.25">
      <c r="A12" s="42" t="s">
        <v>55</v>
      </c>
      <c r="B12" s="42"/>
      <c r="C12" s="42" t="s">
        <v>56</v>
      </c>
      <c r="D12" s="42"/>
      <c r="E12" s="42"/>
      <c r="F12" s="36"/>
      <c r="G12" s="42" t="s">
        <v>37</v>
      </c>
      <c r="H12" s="37" t="str">
        <f>IF(F12="","",ROUND(F12/100*$H$5,2))</f>
        <v/>
      </c>
      <c r="I12" s="42" t="s">
        <v>38</v>
      </c>
      <c r="J12" s="51"/>
      <c r="K12" s="28" t="str">
        <f>IF(F12="","Bitte ausfüllen!","")</f>
        <v>Bitte ausfüllen!</v>
      </c>
    </row>
    <row r="13" spans="1:11" x14ac:dyDescent="0.25">
      <c r="A13" s="42" t="s">
        <v>58</v>
      </c>
      <c r="B13" s="42"/>
      <c r="C13" s="42" t="s">
        <v>59</v>
      </c>
      <c r="D13" s="42"/>
      <c r="E13" s="42"/>
      <c r="F13" s="36"/>
      <c r="G13" s="42" t="s">
        <v>37</v>
      </c>
      <c r="H13" s="37" t="str">
        <f>IF(F13="","",ROUND(F13/100*$H$5,2))</f>
        <v/>
      </c>
      <c r="I13" s="42" t="s">
        <v>38</v>
      </c>
      <c r="J13" s="51"/>
      <c r="K13" s="28" t="str">
        <f>IF(F13="","Bitte ausfüllen!","")</f>
        <v>Bitte ausfüllen!</v>
      </c>
    </row>
    <row r="14" spans="1:11" x14ac:dyDescent="0.25">
      <c r="A14" s="48"/>
      <c r="B14" s="48" t="s">
        <v>61</v>
      </c>
      <c r="C14" s="48"/>
      <c r="D14" s="48"/>
      <c r="E14" s="48"/>
      <c r="F14" s="49">
        <f>IF(SUM(F9:F13)=0,0,SUM(F9:F13))</f>
        <v>0</v>
      </c>
      <c r="G14" s="48" t="s">
        <v>37</v>
      </c>
      <c r="H14" s="41" t="str">
        <f>IF(COUNTIF(F9:F13,"")&gt;0,"",SUM(H8:H13))</f>
        <v/>
      </c>
      <c r="I14" s="48" t="s">
        <v>38</v>
      </c>
      <c r="J14" s="51"/>
      <c r="K14" s="28" t="str">
        <f>IF(H14="","Angaben offen!","")</f>
        <v>Angaben offen!</v>
      </c>
    </row>
    <row r="15" spans="1:11" x14ac:dyDescent="0.25">
      <c r="A15" s="42"/>
      <c r="B15" s="42"/>
      <c r="C15" s="42"/>
      <c r="D15" s="42"/>
      <c r="E15" s="42"/>
      <c r="F15" s="67"/>
      <c r="G15" s="42"/>
      <c r="H15" s="31"/>
      <c r="I15" s="42"/>
      <c r="J15" s="51"/>
      <c r="K15" s="14"/>
    </row>
    <row r="16" spans="1:11" x14ac:dyDescent="0.25">
      <c r="A16" s="48" t="s">
        <v>64</v>
      </c>
      <c r="B16" s="48" t="s">
        <v>65</v>
      </c>
      <c r="C16" s="48"/>
      <c r="D16" s="48"/>
      <c r="E16" s="48"/>
      <c r="F16" s="68"/>
      <c r="G16" s="48"/>
      <c r="H16" s="33"/>
      <c r="I16" s="48"/>
      <c r="J16" s="51"/>
      <c r="K16" s="14"/>
    </row>
    <row r="17" spans="1:11" x14ac:dyDescent="0.25">
      <c r="A17" s="42" t="s">
        <v>67</v>
      </c>
      <c r="B17" s="42" t="s">
        <v>68</v>
      </c>
      <c r="C17" s="42"/>
      <c r="D17" s="43"/>
      <c r="E17" s="21" t="s">
        <v>37</v>
      </c>
      <c r="F17" s="31"/>
      <c r="G17" s="21"/>
      <c r="H17" s="31"/>
      <c r="I17" s="21"/>
      <c r="J17" s="14"/>
      <c r="K17" s="28" t="str">
        <f>IF(D17&lt;&gt;D73,"Wert prüfen!","")</f>
        <v/>
      </c>
    </row>
    <row r="18" spans="1:11" x14ac:dyDescent="0.25">
      <c r="A18" s="42"/>
      <c r="B18" s="42" t="s">
        <v>60</v>
      </c>
      <c r="C18" s="42"/>
      <c r="D18" s="44">
        <f>(D17/100)*$F$14</f>
        <v>0</v>
      </c>
      <c r="E18" s="21" t="s">
        <v>37</v>
      </c>
      <c r="F18" s="45">
        <f>IF(D18="","",D17+D18)</f>
        <v>0</v>
      </c>
      <c r="G18" s="21" t="s">
        <v>37</v>
      </c>
      <c r="H18" s="46">
        <f>IF(D18="","",ROUND(F18/100*$H$5,2))</f>
        <v>0</v>
      </c>
      <c r="I18" s="21" t="s">
        <v>38</v>
      </c>
      <c r="J18" s="14"/>
      <c r="K18" s="28"/>
    </row>
    <row r="19" spans="1:11" x14ac:dyDescent="0.25">
      <c r="A19" s="42" t="s">
        <v>71</v>
      </c>
      <c r="B19" s="42" t="s">
        <v>72</v>
      </c>
      <c r="C19" s="42"/>
      <c r="D19" s="43"/>
      <c r="E19" s="21" t="s">
        <v>37</v>
      </c>
      <c r="F19" s="47"/>
      <c r="G19" s="21"/>
      <c r="H19" s="31"/>
      <c r="I19" s="21"/>
      <c r="J19" s="14"/>
      <c r="K19" s="28" t="str">
        <f>IF(D19&lt;&gt;D74,"Wert prüfen!","")</f>
        <v/>
      </c>
    </row>
    <row r="20" spans="1:11" x14ac:dyDescent="0.25">
      <c r="A20" s="42"/>
      <c r="B20" s="42" t="s">
        <v>63</v>
      </c>
      <c r="C20" s="42"/>
      <c r="D20" s="44">
        <f>(D19/100)*$F$14</f>
        <v>0</v>
      </c>
      <c r="E20" s="21" t="s">
        <v>37</v>
      </c>
      <c r="F20" s="45">
        <f>IF(D20="","",D19+D20)</f>
        <v>0</v>
      </c>
      <c r="G20" s="21" t="s">
        <v>37</v>
      </c>
      <c r="H20" s="46">
        <f>IF(D20="","",ROUND(F20/100*$H$5,2))</f>
        <v>0</v>
      </c>
      <c r="I20" s="21" t="s">
        <v>38</v>
      </c>
      <c r="J20" s="14"/>
      <c r="K20" s="28"/>
    </row>
    <row r="21" spans="1:11" x14ac:dyDescent="0.25">
      <c r="A21" s="42" t="s">
        <v>75</v>
      </c>
      <c r="B21" s="42" t="s">
        <v>76</v>
      </c>
      <c r="C21" s="42"/>
      <c r="D21" s="43"/>
      <c r="E21" s="21" t="s">
        <v>37</v>
      </c>
      <c r="F21" s="47"/>
      <c r="G21" s="21"/>
      <c r="H21" s="31"/>
      <c r="I21" s="21"/>
      <c r="J21" s="14"/>
      <c r="K21" s="28" t="str">
        <f>IF(D21&lt;&gt;D75,"Wert prüfen!","")</f>
        <v/>
      </c>
    </row>
    <row r="22" spans="1:11" x14ac:dyDescent="0.25">
      <c r="A22" s="42"/>
      <c r="B22" s="42" t="s">
        <v>69</v>
      </c>
      <c r="C22" s="42"/>
      <c r="D22" s="44">
        <f>(D21/100)*$F$14</f>
        <v>0</v>
      </c>
      <c r="E22" s="21" t="s">
        <v>37</v>
      </c>
      <c r="F22" s="45">
        <f>IF(D22="","",D21+D22)</f>
        <v>0</v>
      </c>
      <c r="G22" s="21" t="s">
        <v>37</v>
      </c>
      <c r="H22" s="46">
        <f>IF(D22="","",ROUND(F22/100*$H$5,2))</f>
        <v>0</v>
      </c>
      <c r="I22" s="21" t="s">
        <v>38</v>
      </c>
      <c r="J22" s="14"/>
      <c r="K22" s="28"/>
    </row>
    <row r="23" spans="1:11" x14ac:dyDescent="0.25">
      <c r="A23" s="42" t="s">
        <v>79</v>
      </c>
      <c r="B23" s="42" t="s">
        <v>80</v>
      </c>
      <c r="C23" s="42"/>
      <c r="D23" s="43"/>
      <c r="E23" s="21" t="s">
        <v>37</v>
      </c>
      <c r="F23" s="47"/>
      <c r="G23" s="21"/>
      <c r="H23" s="31"/>
      <c r="I23" s="21"/>
      <c r="J23" s="14"/>
      <c r="K23" s="28" t="str">
        <f>IF(D23&lt;&gt;D76,"Wert prüfen!","")</f>
        <v/>
      </c>
    </row>
    <row r="24" spans="1:11" x14ac:dyDescent="0.25">
      <c r="A24" s="42"/>
      <c r="B24" s="42" t="s">
        <v>73</v>
      </c>
      <c r="C24" s="42"/>
      <c r="D24" s="44">
        <f>(D23/100)*$F$14</f>
        <v>0</v>
      </c>
      <c r="E24" s="21" t="s">
        <v>37</v>
      </c>
      <c r="F24" s="45">
        <f>IF(D24="","",D23+D24)</f>
        <v>0</v>
      </c>
      <c r="G24" s="21" t="s">
        <v>37</v>
      </c>
      <c r="H24" s="46">
        <f>IF(D24="","",ROUND(F24/100*$H$5,2))</f>
        <v>0</v>
      </c>
      <c r="I24" s="21" t="s">
        <v>38</v>
      </c>
      <c r="J24" s="14"/>
      <c r="K24" s="28"/>
    </row>
    <row r="25" spans="1:11" x14ac:dyDescent="0.25">
      <c r="A25" s="42" t="s">
        <v>82</v>
      </c>
      <c r="B25" s="42" t="s">
        <v>83</v>
      </c>
      <c r="C25" s="42"/>
      <c r="D25" s="36"/>
      <c r="E25" s="21" t="s">
        <v>37</v>
      </c>
      <c r="F25" s="47"/>
      <c r="G25" s="21"/>
      <c r="H25" s="31"/>
      <c r="I25" s="21"/>
      <c r="J25" s="14"/>
      <c r="K25" s="28" t="str">
        <f>IF(D25="","Bitte ausfüllen!","")</f>
        <v>Bitte ausfüllen!</v>
      </c>
    </row>
    <row r="26" spans="1:11" x14ac:dyDescent="0.25">
      <c r="A26" s="42"/>
      <c r="B26" s="42" t="s">
        <v>77</v>
      </c>
      <c r="C26" s="42"/>
      <c r="D26" s="44">
        <f>(D25/100)*$F$14</f>
        <v>0</v>
      </c>
      <c r="E26" s="21" t="s">
        <v>37</v>
      </c>
      <c r="F26" s="45">
        <f>IF(D26="","",D25+D26)</f>
        <v>0</v>
      </c>
      <c r="G26" s="21" t="s">
        <v>37</v>
      </c>
      <c r="H26" s="46">
        <f>IF(D26="","",ROUND(F26/100*$H$5,2))</f>
        <v>0</v>
      </c>
      <c r="I26" s="21" t="s">
        <v>38</v>
      </c>
      <c r="J26" s="14"/>
      <c r="K26" s="28"/>
    </row>
    <row r="27" spans="1:11" x14ac:dyDescent="0.25">
      <c r="A27" s="42" t="s">
        <v>85</v>
      </c>
      <c r="B27" s="42" t="s">
        <v>86</v>
      </c>
      <c r="C27" s="42"/>
      <c r="D27" s="21"/>
      <c r="E27" s="21"/>
      <c r="F27" s="70"/>
      <c r="G27" s="21" t="s">
        <v>37</v>
      </c>
      <c r="H27" s="46" t="str">
        <f>IF(F27="","",ROUND(F27/100*$H$5,2))</f>
        <v/>
      </c>
      <c r="I27" s="21" t="s">
        <v>38</v>
      </c>
      <c r="J27" s="14"/>
      <c r="K27" s="28" t="str">
        <f>IF(F27="","Bitte ausfüllen!","")</f>
        <v>Bitte ausfüllen!</v>
      </c>
    </row>
    <row r="28" spans="1:11" x14ac:dyDescent="0.25">
      <c r="A28" s="42" t="s">
        <v>88</v>
      </c>
      <c r="B28" s="42" t="s">
        <v>89</v>
      </c>
      <c r="C28" s="42"/>
      <c r="D28" s="21"/>
      <c r="E28" s="21"/>
      <c r="F28" s="36"/>
      <c r="G28" s="21" t="s">
        <v>37</v>
      </c>
      <c r="H28" s="46" t="str">
        <f>IF(F28="","",ROUND(F28/100*$H$5,2))</f>
        <v/>
      </c>
      <c r="I28" s="21" t="s">
        <v>38</v>
      </c>
      <c r="J28" s="14"/>
      <c r="K28" s="28" t="str">
        <f>IF(F28&lt;&gt;D79,"Wert prüfen!","")</f>
        <v/>
      </c>
    </row>
    <row r="29" spans="1:11" ht="24.75" customHeight="1" x14ac:dyDescent="0.25">
      <c r="A29" s="48"/>
      <c r="B29" s="127" t="s">
        <v>90</v>
      </c>
      <c r="C29" s="127"/>
      <c r="D29" s="48"/>
      <c r="E29" s="48"/>
      <c r="F29" s="49" t="str">
        <f>IF(SUM(F17:F28)=0,"",SUM(F17:F28)+F14)</f>
        <v/>
      </c>
      <c r="G29" s="48" t="s">
        <v>37</v>
      </c>
      <c r="H29" s="50" t="str">
        <f>IF(OR(COUNTIF(D17:D26,"")&gt;0,COUNTIF(F27:F28,"")&gt;0),"",SUM(H17:H28)+H14)</f>
        <v/>
      </c>
      <c r="I29" s="48" t="s">
        <v>38</v>
      </c>
      <c r="J29" s="51"/>
      <c r="K29" s="28" t="str">
        <f>IF(H29="","Angaben offen!","")</f>
        <v>Angaben offen!</v>
      </c>
    </row>
    <row r="30" spans="1:11" x14ac:dyDescent="0.25">
      <c r="A30" s="42"/>
      <c r="B30" s="42"/>
      <c r="C30" s="42"/>
      <c r="D30" s="42"/>
      <c r="E30" s="42"/>
      <c r="F30" s="67"/>
      <c r="G30" s="42"/>
      <c r="H30" s="31"/>
      <c r="I30" s="42"/>
      <c r="J30" s="51"/>
      <c r="K30" s="14"/>
    </row>
    <row r="31" spans="1:11" x14ac:dyDescent="0.25">
      <c r="A31" s="42"/>
      <c r="B31" s="48" t="s">
        <v>91</v>
      </c>
      <c r="C31" s="42"/>
      <c r="D31" s="42"/>
      <c r="E31" s="42"/>
      <c r="F31" s="67"/>
      <c r="G31" s="42"/>
      <c r="H31" s="31"/>
      <c r="I31" s="42"/>
      <c r="J31" s="51"/>
      <c r="K31" s="14"/>
    </row>
    <row r="32" spans="1:11" x14ac:dyDescent="0.25">
      <c r="A32" s="42" t="s">
        <v>92</v>
      </c>
      <c r="B32" s="42" t="s">
        <v>93</v>
      </c>
      <c r="C32" s="42"/>
      <c r="D32" s="42"/>
      <c r="E32" s="42"/>
      <c r="F32" s="43"/>
      <c r="G32" s="42" t="s">
        <v>37</v>
      </c>
      <c r="H32" s="46" t="str">
        <f>IF(F32="","",ROUND(F32/100*$H$5,2))</f>
        <v/>
      </c>
      <c r="I32" s="42" t="s">
        <v>38</v>
      </c>
      <c r="J32" s="51"/>
      <c r="K32" s="28" t="str">
        <f>IF(F32="","Bitte ausfüllen!","")</f>
        <v>Bitte ausfüllen!</v>
      </c>
    </row>
    <row r="33" spans="1:11" x14ac:dyDescent="0.25">
      <c r="A33" s="42" t="s">
        <v>94</v>
      </c>
      <c r="B33" s="42" t="s">
        <v>95</v>
      </c>
      <c r="C33" s="42"/>
      <c r="D33" s="42"/>
      <c r="E33" s="42"/>
      <c r="F33" s="43"/>
      <c r="G33" s="42" t="s">
        <v>37</v>
      </c>
      <c r="H33" s="46" t="str">
        <f>IF(F33="","",ROUND(F33/100*$H$5,2))</f>
        <v/>
      </c>
      <c r="I33" s="42" t="s">
        <v>38</v>
      </c>
      <c r="J33" s="51"/>
      <c r="K33" s="28" t="str">
        <f>IF(F33="","Bitte ausfüllen!","")</f>
        <v>Bitte ausfüllen!</v>
      </c>
    </row>
    <row r="34" spans="1:11" x14ac:dyDescent="0.25">
      <c r="A34" s="48"/>
      <c r="B34" s="127" t="s">
        <v>96</v>
      </c>
      <c r="C34" s="127"/>
      <c r="D34" s="48"/>
      <c r="E34" s="48"/>
      <c r="F34" s="49" t="str">
        <f>IF(SUM(F32:F33)=0,"",SUM(F32:F33)+F29)</f>
        <v/>
      </c>
      <c r="G34" s="48" t="s">
        <v>37</v>
      </c>
      <c r="H34" s="50" t="str">
        <f>IF(COUNTIF(H32:H33,"")&gt;0,"",SUM(H32:H33)+H29)</f>
        <v/>
      </c>
      <c r="I34" s="48" t="s">
        <v>38</v>
      </c>
      <c r="J34" s="51"/>
      <c r="K34" s="28" t="str">
        <f>IF(H34="","Angaben offen!","")</f>
        <v>Angaben offen!</v>
      </c>
    </row>
    <row r="35" spans="1:11" x14ac:dyDescent="0.25">
      <c r="A35" s="42"/>
      <c r="B35" s="42"/>
      <c r="C35" s="42"/>
      <c r="D35" s="42"/>
      <c r="E35" s="42"/>
      <c r="F35" s="67"/>
      <c r="G35" s="42"/>
      <c r="H35" s="31"/>
      <c r="I35" s="42"/>
      <c r="J35" s="51"/>
      <c r="K35" s="14"/>
    </row>
    <row r="36" spans="1:11" x14ac:dyDescent="0.25">
      <c r="A36" s="48" t="s">
        <v>97</v>
      </c>
      <c r="B36" s="48" t="s">
        <v>98</v>
      </c>
      <c r="C36" s="48"/>
      <c r="D36" s="48"/>
      <c r="E36" s="48"/>
      <c r="F36" s="68"/>
      <c r="G36" s="48"/>
      <c r="H36" s="33"/>
      <c r="I36" s="48"/>
      <c r="J36" s="51"/>
      <c r="K36" s="14"/>
    </row>
    <row r="37" spans="1:11" x14ac:dyDescent="0.25">
      <c r="A37" s="42" t="s">
        <v>99</v>
      </c>
      <c r="B37" s="42" t="s">
        <v>100</v>
      </c>
      <c r="C37" s="42"/>
      <c r="D37" s="42"/>
      <c r="E37" s="42"/>
      <c r="F37" s="67"/>
      <c r="G37" s="42"/>
      <c r="H37" s="31"/>
      <c r="I37" s="42"/>
      <c r="J37" s="51"/>
      <c r="K37" s="14"/>
    </row>
    <row r="38" spans="1:11" x14ac:dyDescent="0.25">
      <c r="A38" s="42"/>
      <c r="B38" s="42" t="s">
        <v>101</v>
      </c>
      <c r="C38" s="42"/>
      <c r="D38" s="42"/>
      <c r="E38" s="42"/>
      <c r="F38" s="43"/>
      <c r="G38" s="42" t="s">
        <v>37</v>
      </c>
      <c r="H38" s="46" t="str">
        <f>IF(F38="","",ROUND(F38/100*$H$5,2))</f>
        <v/>
      </c>
      <c r="I38" s="42" t="s">
        <v>38</v>
      </c>
      <c r="J38" s="51"/>
      <c r="K38" s="28" t="str">
        <f>IF(F38="","Bitte ausfüllen!","")</f>
        <v>Bitte ausfüllen!</v>
      </c>
    </row>
    <row r="39" spans="1:11" x14ac:dyDescent="0.25">
      <c r="A39" s="42" t="s">
        <v>102</v>
      </c>
      <c r="B39" s="42" t="s">
        <v>103</v>
      </c>
      <c r="C39" s="42"/>
      <c r="D39" s="42"/>
      <c r="E39" s="42"/>
      <c r="F39" s="43"/>
      <c r="G39" s="42" t="s">
        <v>37</v>
      </c>
      <c r="H39" s="46" t="str">
        <f>IF(F39="","",ROUND(F39/100*$H$5,2))</f>
        <v/>
      </c>
      <c r="I39" s="42" t="s">
        <v>38</v>
      </c>
      <c r="J39" s="51"/>
      <c r="K39" s="28" t="str">
        <f>IF(F39="","Bitte ausfüllen!","")</f>
        <v>Bitte ausfüllen!</v>
      </c>
    </row>
    <row r="40" spans="1:11" x14ac:dyDescent="0.25">
      <c r="A40" s="42" t="s">
        <v>104</v>
      </c>
      <c r="B40" s="42" t="s">
        <v>105</v>
      </c>
      <c r="C40" s="42"/>
      <c r="D40" s="42"/>
      <c r="E40" s="42"/>
      <c r="F40" s="43"/>
      <c r="G40" s="42" t="s">
        <v>37</v>
      </c>
      <c r="H40" s="46" t="str">
        <f>IF(F40="","",ROUND(F40/100*$H$5,2))</f>
        <v/>
      </c>
      <c r="I40" s="42" t="s">
        <v>38</v>
      </c>
      <c r="J40" s="51"/>
      <c r="K40" s="28" t="str">
        <f>IF(F40="","Bitte ausfüllen!","")</f>
        <v>Bitte ausfüllen!</v>
      </c>
    </row>
    <row r="41" spans="1:11" x14ac:dyDescent="0.25">
      <c r="A41" s="42" t="s">
        <v>106</v>
      </c>
      <c r="B41" s="42" t="s">
        <v>107</v>
      </c>
      <c r="C41" s="42"/>
      <c r="D41" s="42"/>
      <c r="E41" s="42"/>
      <c r="F41" s="43"/>
      <c r="G41" s="42" t="s">
        <v>37</v>
      </c>
      <c r="H41" s="46" t="str">
        <f>IF(F41="","",ROUND(F41/100*$H$5,2))</f>
        <v/>
      </c>
      <c r="I41" s="42" t="s">
        <v>38</v>
      </c>
      <c r="J41" s="51"/>
      <c r="K41" s="28" t="str">
        <f>IF(F41="","Bitte ausfüllen!","")</f>
        <v>Bitte ausfüllen!</v>
      </c>
    </row>
    <row r="42" spans="1:11" ht="25.5" customHeight="1" x14ac:dyDescent="0.25">
      <c r="A42" s="48"/>
      <c r="B42" s="127" t="s">
        <v>108</v>
      </c>
      <c r="C42" s="127"/>
      <c r="D42" s="48"/>
      <c r="E42" s="48"/>
      <c r="F42" s="49" t="str">
        <f>IF(SUM(F38:F41)=0,"",SUM(F38:F41))</f>
        <v/>
      </c>
      <c r="G42" s="48" t="s">
        <v>37</v>
      </c>
      <c r="H42" s="50" t="str">
        <f>IF(COUNTIF(H38:H41,"")&gt;0,"",SUM(H38:H41))</f>
        <v/>
      </c>
      <c r="I42" s="48" t="s">
        <v>38</v>
      </c>
      <c r="J42" s="51"/>
      <c r="K42" s="28" t="str">
        <f>IF(H42="","Angaben offen!","")</f>
        <v>Angaben offen!</v>
      </c>
    </row>
    <row r="43" spans="1:11" x14ac:dyDescent="0.25">
      <c r="A43" s="42"/>
      <c r="B43" s="42"/>
      <c r="C43" s="42"/>
      <c r="D43" s="42"/>
      <c r="E43" s="42"/>
      <c r="F43" s="67"/>
      <c r="G43" s="42"/>
      <c r="H43" s="31"/>
      <c r="I43" s="42"/>
      <c r="J43" s="51"/>
      <c r="K43" s="14"/>
    </row>
    <row r="44" spans="1:11" x14ac:dyDescent="0.25">
      <c r="A44" s="48" t="s">
        <v>109</v>
      </c>
      <c r="B44" s="48" t="s">
        <v>110</v>
      </c>
      <c r="C44" s="48"/>
      <c r="D44" s="48"/>
      <c r="E44" s="48"/>
      <c r="F44" s="48"/>
      <c r="G44" s="48"/>
      <c r="H44" s="25"/>
      <c r="I44" s="48"/>
      <c r="J44" s="51"/>
      <c r="K44" s="14"/>
    </row>
    <row r="45" spans="1:11" x14ac:dyDescent="0.25">
      <c r="A45" s="42" t="s">
        <v>111</v>
      </c>
      <c r="B45" s="42" t="s">
        <v>112</v>
      </c>
      <c r="C45" s="42"/>
      <c r="D45" s="42"/>
      <c r="E45" s="42"/>
      <c r="F45" s="42"/>
      <c r="G45" s="42"/>
      <c r="H45" s="21"/>
      <c r="I45" s="42"/>
      <c r="J45" s="51"/>
      <c r="K45" s="14"/>
    </row>
    <row r="46" spans="1:11" x14ac:dyDescent="0.25">
      <c r="A46" s="42" t="s">
        <v>113</v>
      </c>
      <c r="B46" s="42"/>
      <c r="C46" s="42" t="s">
        <v>114</v>
      </c>
      <c r="D46" s="42"/>
      <c r="E46" s="42"/>
      <c r="F46" s="43"/>
      <c r="G46" s="42" t="s">
        <v>37</v>
      </c>
      <c r="H46" s="46" t="str">
        <f>IF(F46="","",ROUND(F46/100*$H$5,2))</f>
        <v/>
      </c>
      <c r="I46" s="42" t="s">
        <v>38</v>
      </c>
      <c r="J46" s="51"/>
      <c r="K46" s="28" t="str">
        <f>IF(F46="","Bitte ausfüllen!","")</f>
        <v>Bitte ausfüllen!</v>
      </c>
    </row>
    <row r="47" spans="1:11" x14ac:dyDescent="0.25">
      <c r="A47" s="42" t="s">
        <v>115</v>
      </c>
      <c r="B47" s="42"/>
      <c r="C47" s="42" t="s">
        <v>116</v>
      </c>
      <c r="D47" s="42"/>
      <c r="E47" s="42"/>
      <c r="F47" s="43"/>
      <c r="G47" s="42" t="s">
        <v>37</v>
      </c>
      <c r="H47" s="46" t="str">
        <f>IF(F47="","",ROUND(F47/100*$H$5,2))</f>
        <v/>
      </c>
      <c r="I47" s="42" t="s">
        <v>38</v>
      </c>
      <c r="J47" s="51"/>
      <c r="K47" s="28" t="str">
        <f>IF(F47="","Bitte ausfüllen!","")</f>
        <v>Bitte ausfüllen!</v>
      </c>
    </row>
    <row r="48" spans="1:11" x14ac:dyDescent="0.25">
      <c r="A48" s="42" t="s">
        <v>117</v>
      </c>
      <c r="B48" s="42" t="s">
        <v>118</v>
      </c>
      <c r="C48" s="42"/>
      <c r="D48" s="42"/>
      <c r="E48" s="42"/>
      <c r="F48" s="43"/>
      <c r="G48" s="42" t="s">
        <v>37</v>
      </c>
      <c r="H48" s="46" t="str">
        <f>IF(F48="","",ROUND(F48/100*$H$5,2))</f>
        <v/>
      </c>
      <c r="I48" s="42" t="s">
        <v>38</v>
      </c>
      <c r="J48" s="51"/>
      <c r="K48" s="28" t="str">
        <f>IF(F48="","Bitte ausfüllen!","")</f>
        <v>Bitte ausfüllen!</v>
      </c>
    </row>
    <row r="49" spans="1:11" x14ac:dyDescent="0.25">
      <c r="A49" s="42" t="s">
        <v>119</v>
      </c>
      <c r="B49" s="42" t="s">
        <v>120</v>
      </c>
      <c r="C49" s="42"/>
      <c r="D49" s="42"/>
      <c r="E49" s="42"/>
      <c r="F49" s="21"/>
      <c r="G49" s="42"/>
      <c r="H49" s="21"/>
      <c r="I49" s="42"/>
      <c r="J49" s="51"/>
      <c r="K49" s="14"/>
    </row>
    <row r="50" spans="1:11" x14ac:dyDescent="0.25">
      <c r="A50" s="42" t="s">
        <v>121</v>
      </c>
      <c r="B50" s="42"/>
      <c r="C50" s="42" t="s">
        <v>122</v>
      </c>
      <c r="D50" s="42"/>
      <c r="E50" s="42"/>
      <c r="F50" s="43"/>
      <c r="G50" s="42" t="s">
        <v>37</v>
      </c>
      <c r="H50" s="46" t="str">
        <f t="shared" ref="H50:H56" si="0">IF(F50="","",ROUND(F50/100*$H$5,2))</f>
        <v/>
      </c>
      <c r="I50" s="42" t="s">
        <v>38</v>
      </c>
      <c r="J50" s="51"/>
      <c r="K50" s="28" t="str">
        <f t="shared" ref="K50:K56" si="1">IF(F50="","Bitte ausfüllen!","")</f>
        <v>Bitte ausfüllen!</v>
      </c>
    </row>
    <row r="51" spans="1:11" x14ac:dyDescent="0.25">
      <c r="A51" s="42" t="s">
        <v>123</v>
      </c>
      <c r="B51" s="42"/>
      <c r="C51" s="42" t="s">
        <v>124</v>
      </c>
      <c r="D51" s="42"/>
      <c r="E51" s="42"/>
      <c r="F51" s="43"/>
      <c r="G51" s="42" t="s">
        <v>37</v>
      </c>
      <c r="H51" s="46" t="str">
        <f t="shared" si="0"/>
        <v/>
      </c>
      <c r="I51" s="42" t="s">
        <v>38</v>
      </c>
      <c r="J51" s="51"/>
      <c r="K51" s="28" t="str">
        <f t="shared" si="1"/>
        <v>Bitte ausfüllen!</v>
      </c>
    </row>
    <row r="52" spans="1:11" x14ac:dyDescent="0.25">
      <c r="A52" s="42" t="s">
        <v>125</v>
      </c>
      <c r="B52" s="42" t="s">
        <v>126</v>
      </c>
      <c r="C52" s="42"/>
      <c r="D52" s="42"/>
      <c r="E52" s="42"/>
      <c r="F52" s="43"/>
      <c r="G52" s="42" t="s">
        <v>37</v>
      </c>
      <c r="H52" s="46" t="str">
        <f t="shared" si="0"/>
        <v/>
      </c>
      <c r="I52" s="42" t="s">
        <v>38</v>
      </c>
      <c r="J52" s="51"/>
      <c r="K52" s="28" t="str">
        <f t="shared" si="1"/>
        <v>Bitte ausfüllen!</v>
      </c>
    </row>
    <row r="53" spans="1:11" x14ac:dyDescent="0.25">
      <c r="A53" s="42" t="s">
        <v>127</v>
      </c>
      <c r="B53" s="42" t="s">
        <v>128</v>
      </c>
      <c r="C53" s="42"/>
      <c r="D53" s="42"/>
      <c r="E53" s="42"/>
      <c r="F53" s="43"/>
      <c r="G53" s="42" t="s">
        <v>37</v>
      </c>
      <c r="H53" s="46" t="str">
        <f t="shared" si="0"/>
        <v/>
      </c>
      <c r="I53" s="42" t="s">
        <v>38</v>
      </c>
      <c r="J53" s="51"/>
      <c r="K53" s="28" t="str">
        <f t="shared" si="1"/>
        <v>Bitte ausfüllen!</v>
      </c>
    </row>
    <row r="54" spans="1:11" x14ac:dyDescent="0.25">
      <c r="A54" s="42" t="s">
        <v>129</v>
      </c>
      <c r="B54" s="42" t="s">
        <v>130</v>
      </c>
      <c r="C54" s="42"/>
      <c r="D54" s="42"/>
      <c r="E54" s="42"/>
      <c r="F54" s="43"/>
      <c r="G54" s="42" t="s">
        <v>37</v>
      </c>
      <c r="H54" s="46" t="str">
        <f t="shared" si="0"/>
        <v/>
      </c>
      <c r="I54" s="42" t="s">
        <v>38</v>
      </c>
      <c r="J54" s="51"/>
      <c r="K54" s="28" t="str">
        <f t="shared" si="1"/>
        <v>Bitte ausfüllen!</v>
      </c>
    </row>
    <row r="55" spans="1:11" x14ac:dyDescent="0.25">
      <c r="A55" s="42" t="s">
        <v>131</v>
      </c>
      <c r="B55" s="42" t="s">
        <v>132</v>
      </c>
      <c r="C55" s="42"/>
      <c r="D55" s="42"/>
      <c r="E55" s="42"/>
      <c r="F55" s="43"/>
      <c r="G55" s="42" t="s">
        <v>37</v>
      </c>
      <c r="H55" s="46" t="str">
        <f t="shared" si="0"/>
        <v/>
      </c>
      <c r="I55" s="42" t="s">
        <v>38</v>
      </c>
      <c r="J55" s="51"/>
      <c r="K55" s="28" t="str">
        <f t="shared" si="1"/>
        <v>Bitte ausfüllen!</v>
      </c>
    </row>
    <row r="56" spans="1:11" x14ac:dyDescent="0.25">
      <c r="A56" s="42" t="s">
        <v>133</v>
      </c>
      <c r="B56" s="42" t="s">
        <v>134</v>
      </c>
      <c r="C56" s="42"/>
      <c r="D56" s="42"/>
      <c r="E56" s="42"/>
      <c r="F56" s="43"/>
      <c r="G56" s="42" t="s">
        <v>37</v>
      </c>
      <c r="H56" s="46" t="str">
        <f t="shared" si="0"/>
        <v/>
      </c>
      <c r="I56" s="42" t="s">
        <v>38</v>
      </c>
      <c r="J56" s="51"/>
      <c r="K56" s="28" t="str">
        <f t="shared" si="1"/>
        <v>Bitte ausfüllen!</v>
      </c>
    </row>
    <row r="57" spans="1:11" ht="23.25" customHeight="1" x14ac:dyDescent="0.25">
      <c r="A57" s="48"/>
      <c r="B57" s="127" t="s">
        <v>135</v>
      </c>
      <c r="C57" s="127"/>
      <c r="D57" s="48"/>
      <c r="E57" s="48"/>
      <c r="F57" s="49" t="str">
        <f>IF(SUM(F45:F56)=0,"",SUM(F45:F56))</f>
        <v/>
      </c>
      <c r="G57" s="48" t="s">
        <v>37</v>
      </c>
      <c r="H57" s="50" t="str">
        <f>IF(COUNTIF(H46:H56,"")&gt;1,"",SUM(H46:H56))</f>
        <v/>
      </c>
      <c r="I57" s="48" t="s">
        <v>38</v>
      </c>
      <c r="J57" s="51"/>
      <c r="K57" s="28" t="str">
        <f>IF(H57="","Angaben offen!","")</f>
        <v>Angaben offen!</v>
      </c>
    </row>
    <row r="58" spans="1:11" x14ac:dyDescent="0.25">
      <c r="A58" s="42"/>
      <c r="B58" s="42"/>
      <c r="C58" s="42"/>
      <c r="D58" s="42"/>
      <c r="E58" s="42"/>
      <c r="F58" s="67"/>
      <c r="G58" s="42"/>
      <c r="H58" s="31"/>
      <c r="I58" s="42"/>
      <c r="J58" s="51"/>
      <c r="K58" s="14"/>
    </row>
    <row r="59" spans="1:11" x14ac:dyDescent="0.25">
      <c r="A59" s="48" t="s">
        <v>136</v>
      </c>
      <c r="B59" s="128" t="s">
        <v>137</v>
      </c>
      <c r="C59" s="128"/>
      <c r="D59" s="48"/>
      <c r="E59" s="48"/>
      <c r="F59" s="71" t="str">
        <f>IF(AND(F34=""),"",F34+F42+F57+F5)</f>
        <v/>
      </c>
      <c r="G59" s="48" t="s">
        <v>37</v>
      </c>
      <c r="H59" s="33" t="str">
        <f>IF(H57="","",H34+H42+H57+H5)</f>
        <v/>
      </c>
      <c r="I59" s="48" t="s">
        <v>38</v>
      </c>
      <c r="J59" s="51"/>
      <c r="K59" s="14"/>
    </row>
    <row r="60" spans="1:11" x14ac:dyDescent="0.25">
      <c r="A60" s="48" t="s">
        <v>138</v>
      </c>
      <c r="B60" s="48" t="s">
        <v>139</v>
      </c>
      <c r="C60" s="48"/>
      <c r="D60" s="48"/>
      <c r="E60" s="48"/>
      <c r="F60" s="69"/>
      <c r="G60" s="48" t="s">
        <v>37</v>
      </c>
      <c r="H60" s="41" t="str">
        <f>IF(F60="","",ROUND(F60/100*H59,2))</f>
        <v/>
      </c>
      <c r="I60" s="48" t="s">
        <v>38</v>
      </c>
      <c r="J60" s="51"/>
      <c r="K60" s="28" t="str">
        <f>IF(F60="","Bitte ausfüllen!","")</f>
        <v>Bitte ausfüllen!</v>
      </c>
    </row>
    <row r="61" spans="1:11" x14ac:dyDescent="0.25">
      <c r="A61" s="48"/>
      <c r="B61" s="48" t="s">
        <v>140</v>
      </c>
      <c r="C61" s="48"/>
      <c r="D61" s="48"/>
      <c r="E61" s="48"/>
      <c r="F61" s="49" t="str">
        <f ca="1">IF(H61="","",H61/H5*100)</f>
        <v/>
      </c>
      <c r="G61" s="48" t="s">
        <v>37</v>
      </c>
      <c r="H61" s="41" t="str">
        <f ca="1">IF(SUM(COUNTIF(INDIRECT({"H5","F9:F13","D17:D26","F27:F28","F32:F33","F38:F41","F46:F48","F50:F56","F60","H65:H68"}),""))&gt;0,"",H59+H60)</f>
        <v/>
      </c>
      <c r="I61" s="48" t="s">
        <v>38</v>
      </c>
      <c r="J61" s="51"/>
      <c r="K61" s="28" t="str">
        <f ca="1">IF(SUM(COUNTIF(INDIRECT({"H5","F9:F13","D17:D26","F27:F28","F32:F33","F38:F41","F46:F48","F50:F56","F60","H65:H68"}),""))&gt;0,SUM(COUNTIF(INDIRECT({"H5","F9:F13","D17:D26","F27:F28","F32:F33","F38:F41","F46:F48","F50:F56","F60","H65:H68"}),"")) &amp;" Zelle(n) ohne Wert!","")</f>
        <v>34 Zelle(n) ohne Wert!</v>
      </c>
    </row>
    <row r="62" spans="1:11" x14ac:dyDescent="0.25">
      <c r="A62" s="42"/>
      <c r="B62" s="42" t="s">
        <v>141</v>
      </c>
      <c r="C62" s="42"/>
      <c r="D62" s="42"/>
      <c r="E62" s="42"/>
      <c r="F62" s="49" t="str">
        <f ca="1">IF(F61="","",F61-F5)</f>
        <v/>
      </c>
      <c r="G62" s="42" t="s">
        <v>37</v>
      </c>
      <c r="H62" s="42"/>
      <c r="I62" s="42"/>
      <c r="J62" s="51"/>
      <c r="K62" s="14"/>
    </row>
    <row r="63" spans="1:1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51"/>
      <c r="K63" s="14"/>
    </row>
    <row r="64" spans="1:11" x14ac:dyDescent="0.25">
      <c r="A64" s="51"/>
      <c r="B64" s="48" t="s">
        <v>142</v>
      </c>
      <c r="C64" s="51"/>
      <c r="D64" s="48"/>
      <c r="E64" s="48"/>
      <c r="F64" s="51"/>
      <c r="G64" s="48"/>
      <c r="H64" s="68" t="s">
        <v>143</v>
      </c>
      <c r="I64" s="51"/>
      <c r="J64" s="51"/>
      <c r="K64" s="14"/>
    </row>
    <row r="65" spans="1:11" x14ac:dyDescent="0.25">
      <c r="A65" s="51"/>
      <c r="B65" s="42" t="s">
        <v>144</v>
      </c>
      <c r="C65" s="51"/>
      <c r="D65" s="42"/>
      <c r="E65" s="42"/>
      <c r="F65" s="51"/>
      <c r="G65" s="72"/>
      <c r="H65" s="73"/>
      <c r="I65" s="51"/>
      <c r="J65" s="51"/>
      <c r="K65" s="28" t="str">
        <f>IF(H65="","Bitte ausfüllen!","")</f>
        <v>Bitte ausfüllen!</v>
      </c>
    </row>
    <row r="66" spans="1:11" x14ac:dyDescent="0.25">
      <c r="A66" s="51"/>
      <c r="B66" s="42" t="s">
        <v>145</v>
      </c>
      <c r="C66" s="51"/>
      <c r="D66" s="42"/>
      <c r="E66" s="42"/>
      <c r="F66" s="51"/>
      <c r="G66" s="72"/>
      <c r="H66" s="73"/>
      <c r="I66" s="51"/>
      <c r="J66" s="51"/>
      <c r="K66" s="28" t="str">
        <f>IF(H66="","Bitte ausfüllen!","")</f>
        <v>Bitte ausfüllen!</v>
      </c>
    </row>
    <row r="67" spans="1:11" x14ac:dyDescent="0.25">
      <c r="A67" s="51"/>
      <c r="B67" s="42" t="s">
        <v>146</v>
      </c>
      <c r="C67" s="51"/>
      <c r="D67" s="42"/>
      <c r="E67" s="42"/>
      <c r="F67" s="51"/>
      <c r="G67" s="72"/>
      <c r="H67" s="73"/>
      <c r="I67" s="51"/>
      <c r="J67" s="51"/>
      <c r="K67" s="28" t="str">
        <f>IF(H67="","Bitte ausfüllen!","")</f>
        <v>Bitte ausfüllen!</v>
      </c>
    </row>
    <row r="68" spans="1:11" x14ac:dyDescent="0.25">
      <c r="A68" s="51"/>
      <c r="B68" s="42" t="s">
        <v>147</v>
      </c>
      <c r="C68" s="51"/>
      <c r="D68" s="42"/>
      <c r="E68" s="42"/>
      <c r="F68" s="51"/>
      <c r="G68" s="72"/>
      <c r="H68" s="73"/>
      <c r="I68" s="51"/>
      <c r="J68" s="51"/>
      <c r="K68" s="28" t="str">
        <f>IF(H68="","Bitte ausfüllen!","")</f>
        <v>Bitte ausfüllen!</v>
      </c>
    </row>
    <row r="69" spans="1:11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14"/>
    </row>
    <row r="70" spans="1:11" x14ac:dyDescent="0.25">
      <c r="A70" s="51"/>
      <c r="B70" s="51"/>
      <c r="C70" s="58"/>
      <c r="D70" s="18"/>
      <c r="E70" s="51"/>
      <c r="F70" s="51"/>
      <c r="G70" s="51"/>
      <c r="H70" s="51"/>
      <c r="I70" s="51"/>
      <c r="J70" s="51"/>
      <c r="K70" s="14"/>
    </row>
    <row r="71" spans="1:11" x14ac:dyDescent="0.25">
      <c r="A71" s="51"/>
      <c r="B71" s="51"/>
      <c r="C71" s="59"/>
      <c r="D71" s="14"/>
      <c r="E71" s="51"/>
      <c r="F71" s="51"/>
      <c r="G71" s="51"/>
      <c r="H71" s="51"/>
      <c r="I71" s="51"/>
      <c r="J71" s="51"/>
      <c r="K71" s="14"/>
    </row>
    <row r="72" spans="1:11" ht="21" x14ac:dyDescent="0.25">
      <c r="A72" s="123" t="s">
        <v>148</v>
      </c>
      <c r="B72" s="123"/>
      <c r="C72" s="123"/>
      <c r="D72" s="60" t="s">
        <v>225</v>
      </c>
      <c r="E72" s="51"/>
      <c r="F72" s="123" t="s">
        <v>149</v>
      </c>
      <c r="G72" s="123"/>
      <c r="H72" s="123"/>
      <c r="I72" s="48"/>
      <c r="J72" s="48"/>
      <c r="K72" s="48"/>
    </row>
    <row r="73" spans="1:11" x14ac:dyDescent="0.25">
      <c r="A73" s="122">
        <v>1</v>
      </c>
      <c r="B73" s="122"/>
      <c r="C73" s="62" t="s">
        <v>150</v>
      </c>
      <c r="D73" s="63"/>
      <c r="E73" s="14"/>
      <c r="F73" s="124" t="s">
        <v>151</v>
      </c>
      <c r="G73" s="124"/>
      <c r="H73" s="124"/>
      <c r="I73" s="14"/>
      <c r="J73" s="14"/>
      <c r="K73" s="14"/>
    </row>
    <row r="74" spans="1:11" x14ac:dyDescent="0.25">
      <c r="A74" s="122">
        <v>2</v>
      </c>
      <c r="B74" s="122"/>
      <c r="C74" s="62" t="s">
        <v>152</v>
      </c>
      <c r="D74" s="63"/>
      <c r="E74" s="14"/>
      <c r="F74" s="14"/>
      <c r="G74" s="14"/>
      <c r="H74" s="14"/>
      <c r="I74" s="14"/>
      <c r="J74" s="14"/>
      <c r="K74" s="14"/>
    </row>
    <row r="75" spans="1:11" x14ac:dyDescent="0.25">
      <c r="A75" s="122">
        <v>3</v>
      </c>
      <c r="B75" s="122"/>
      <c r="C75" s="62" t="s">
        <v>153</v>
      </c>
      <c r="D75" s="63"/>
      <c r="E75" s="14"/>
      <c r="F75" s="14"/>
      <c r="G75" s="14"/>
      <c r="H75" s="14"/>
      <c r="I75" s="14"/>
      <c r="J75" s="14"/>
      <c r="K75" s="14"/>
    </row>
    <row r="76" spans="1:11" ht="21" x14ac:dyDescent="0.25">
      <c r="A76" s="122">
        <v>4</v>
      </c>
      <c r="B76" s="122"/>
      <c r="C76" s="62" t="s">
        <v>154</v>
      </c>
      <c r="D76" s="63"/>
      <c r="E76" s="14"/>
      <c r="F76" s="14"/>
      <c r="G76" s="14"/>
      <c r="H76" s="14"/>
      <c r="I76" s="14"/>
      <c r="J76" s="14"/>
      <c r="K76" s="14"/>
    </row>
    <row r="77" spans="1:11" x14ac:dyDescent="0.25">
      <c r="A77" s="122">
        <v>5</v>
      </c>
      <c r="B77" s="122"/>
      <c r="C77" s="62" t="s">
        <v>155</v>
      </c>
      <c r="D77" s="63"/>
      <c r="E77" s="14"/>
      <c r="F77" s="14"/>
      <c r="G77" s="14"/>
      <c r="H77" s="14"/>
      <c r="I77" s="14"/>
      <c r="J77" s="14"/>
      <c r="K77" s="14"/>
    </row>
    <row r="78" spans="1:11" ht="21" x14ac:dyDescent="0.25">
      <c r="A78" s="122">
        <v>6</v>
      </c>
      <c r="B78" s="122"/>
      <c r="C78" s="62" t="s">
        <v>156</v>
      </c>
      <c r="D78" s="63"/>
      <c r="E78" s="14"/>
      <c r="F78" s="14"/>
      <c r="G78" s="14"/>
      <c r="H78" s="14"/>
      <c r="I78" s="14"/>
      <c r="J78" s="14"/>
      <c r="K78" s="14"/>
    </row>
    <row r="79" spans="1:11" ht="21" x14ac:dyDescent="0.25">
      <c r="A79" s="122">
        <v>7</v>
      </c>
      <c r="B79" s="122"/>
      <c r="C79" s="62" t="s">
        <v>157</v>
      </c>
      <c r="D79" s="63"/>
      <c r="E79" s="14"/>
      <c r="F79" s="14"/>
      <c r="G79" s="14"/>
      <c r="H79" s="14"/>
      <c r="I79" s="14"/>
      <c r="J79" s="14"/>
      <c r="K79" s="14"/>
    </row>
  </sheetData>
  <sheetProtection algorithmName="SHA-512" hashValue="7sUmA7tA4BCqd2kcTY11fTXJH4WoGmRGppAos9gO9JboKcqkXjlmdj6ofLcscDQ6nDx9rnyg3tMN0nv6ISPyAQ==" saltValue="NZWl4Z+sRmVBCRa6TjU4qw==" spinCount="100000" sheet="1" objects="1" scenarios="1" formatCells="0" formatColumns="0" formatRows="0" insertColumns="0" insertRows="0" insertHyperlinks="0" deleteColumns="0" deleteRows="0"/>
  <protectedRanges>
    <protectedRange sqref="D73:D79 H65:H68 F60 F50:F56 F46:F48 F38:F41 F32:F33 F27:F28 D25 D23 D21 D19 D17 F9:F13 H5" name="Bereich1"/>
  </protectedRanges>
  <mergeCells count="16">
    <mergeCell ref="B59:C59"/>
    <mergeCell ref="A3:I3"/>
    <mergeCell ref="B29:C29"/>
    <mergeCell ref="B34:C34"/>
    <mergeCell ref="B42:C42"/>
    <mergeCell ref="B57:C57"/>
    <mergeCell ref="F72:H72"/>
    <mergeCell ref="A73:B73"/>
    <mergeCell ref="F73:H73"/>
    <mergeCell ref="A74:B74"/>
    <mergeCell ref="A75:B75"/>
    <mergeCell ref="A76:B76"/>
    <mergeCell ref="A77:B77"/>
    <mergeCell ref="A78:B78"/>
    <mergeCell ref="A79:B79"/>
    <mergeCell ref="A72:C72"/>
  </mergeCells>
  <dataValidations disablePrompts="1" count="1">
    <dataValidation type="decimal" errorStyle="warning" allowBlank="1" showInputMessage="1" showErrorMessage="1" error="Bitte überprüfen Sie Ihre Eingaben." sqref="C25" xr:uid="{A70B66CD-45DE-47B9-9362-58763F7D2647}">
      <formula1>8.5</formula1>
      <formula2>84</formula2>
    </dataValidation>
  </dataValidations>
  <hyperlinks>
    <hyperlink ref="K1" location="Inhaltsverzeichnis!A1" display="Zurück zum Inhaltsverzeichnis" xr:uid="{9F001B79-5A56-46E4-B19B-2C8B9EA56F08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04029-53C7-4F95-B7A8-BA25E876F620}">
  <dimension ref="A1:H14"/>
  <sheetViews>
    <sheetView workbookViewId="0">
      <selection activeCell="C6" sqref="C6:C14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161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162</v>
      </c>
      <c r="B3" s="76" t="s">
        <v>412</v>
      </c>
      <c r="C3" s="76"/>
      <c r="D3" s="14"/>
      <c r="E3" s="14"/>
      <c r="F3" s="14"/>
      <c r="G3" s="14"/>
      <c r="H3" s="14"/>
    </row>
    <row r="4" spans="1:8" ht="51" customHeight="1" x14ac:dyDescent="0.25">
      <c r="A4" s="130" t="s">
        <v>163</v>
      </c>
      <c r="B4" s="130"/>
      <c r="C4" s="130"/>
      <c r="D4" s="14"/>
      <c r="E4" s="14"/>
      <c r="F4" s="14"/>
      <c r="G4" s="14"/>
      <c r="H4" s="14"/>
    </row>
    <row r="5" spans="1:8" x14ac:dyDescent="0.25">
      <c r="A5" s="77" t="s">
        <v>164</v>
      </c>
      <c r="B5" s="77" t="s">
        <v>165</v>
      </c>
      <c r="C5" s="77" t="s">
        <v>166</v>
      </c>
      <c r="D5" s="14"/>
      <c r="E5" s="14"/>
      <c r="F5" s="14"/>
      <c r="G5" s="14"/>
      <c r="H5" s="14"/>
    </row>
    <row r="6" spans="1:8" x14ac:dyDescent="0.25">
      <c r="A6" s="78" t="s">
        <v>167</v>
      </c>
      <c r="B6" s="79"/>
      <c r="C6" s="80">
        <f ca="1">SUMIF('Kal Unter OS Nossen'!J6:M105,$A$6,'Kal Unter OS Nossen'!M6:M105)</f>
        <v>10763.330000000002</v>
      </c>
      <c r="D6" s="14"/>
      <c r="E6" s="14"/>
      <c r="F6" s="14"/>
      <c r="G6" s="14"/>
      <c r="H6" s="14"/>
    </row>
    <row r="7" spans="1:8" x14ac:dyDescent="0.25">
      <c r="A7" s="81" t="s">
        <v>168</v>
      </c>
      <c r="B7" s="79"/>
      <c r="C7" s="80">
        <f ca="1">SUMIF('Kal Unter OS Nossen'!J6:M105,$A$7,'Kal Unter OS Nossen'!M6:M105)</f>
        <v>62031.240000000005</v>
      </c>
      <c r="D7" s="14"/>
      <c r="E7" s="14"/>
      <c r="F7" s="14"/>
      <c r="G7" s="14"/>
      <c r="H7" s="14"/>
    </row>
    <row r="8" spans="1:8" x14ac:dyDescent="0.25">
      <c r="A8" s="81" t="s">
        <v>169</v>
      </c>
      <c r="B8" s="79"/>
      <c r="C8" s="80">
        <f ca="1">SUMIF('Kal Unter OS Nossen'!J6:M105,$A$8,'Kal Unter OS Nossen'!M6:M105)</f>
        <v>30228.55</v>
      </c>
      <c r="D8" s="14"/>
      <c r="E8" s="14"/>
      <c r="F8" s="14"/>
      <c r="G8" s="14"/>
      <c r="H8" s="14"/>
    </row>
    <row r="9" spans="1:8" x14ac:dyDescent="0.25">
      <c r="A9" s="81" t="s">
        <v>170</v>
      </c>
      <c r="B9" s="79"/>
      <c r="C9" s="80">
        <f ca="1">SUMIF('Kal Unter OS Nossen'!J6:M105,$A$9,'Kal Unter OS Nossen'!M6:M105)</f>
        <v>379.51</v>
      </c>
      <c r="D9" s="14"/>
      <c r="E9" s="14"/>
      <c r="F9" s="14"/>
      <c r="G9" s="14"/>
      <c r="H9" s="14"/>
    </row>
    <row r="10" spans="1:8" x14ac:dyDescent="0.25">
      <c r="A10" s="81" t="s">
        <v>171</v>
      </c>
      <c r="B10" s="79"/>
      <c r="C10" s="80">
        <f ca="1">SUMIF('Kal Unter OS Nossen'!J6:M105,$A$10,'Kal Unter OS Nossen'!M6:M105)</f>
        <v>117065.74</v>
      </c>
      <c r="D10" s="14"/>
      <c r="E10" s="14"/>
      <c r="F10" s="14"/>
      <c r="G10" s="14"/>
      <c r="H10" s="14"/>
    </row>
    <row r="11" spans="1:8" x14ac:dyDescent="0.25">
      <c r="A11" s="81" t="s">
        <v>172</v>
      </c>
      <c r="B11" s="79"/>
      <c r="C11" s="80">
        <f ca="1">SUMIF('Kal Unter OS Nossen'!J7:M106,$A$11,'Kal Unter OS Nossen'!M7:M106)</f>
        <v>13464</v>
      </c>
      <c r="D11" s="14"/>
      <c r="E11" s="14"/>
      <c r="F11" s="14"/>
      <c r="G11" s="14"/>
      <c r="H11" s="14"/>
    </row>
    <row r="12" spans="1:8" x14ac:dyDescent="0.25">
      <c r="A12" s="81" t="s">
        <v>173</v>
      </c>
      <c r="B12" s="79"/>
      <c r="C12" s="80">
        <f ca="1">SUMIF('Kal Unter OS Nossen'!J6:M105,$A$12,'Kal Unter OS Nossen'!M6:M105)</f>
        <v>286469.04000000004</v>
      </c>
      <c r="D12" s="14"/>
      <c r="E12" s="14"/>
      <c r="F12" s="14"/>
      <c r="G12" s="14"/>
      <c r="H12" s="14"/>
    </row>
    <row r="13" spans="1:8" x14ac:dyDescent="0.25">
      <c r="A13" s="81" t="s">
        <v>174</v>
      </c>
      <c r="B13" s="79"/>
      <c r="C13" s="80">
        <f ca="1">SUMIF('Kal Unter OS Nossen'!J6:M105,$A$13,'Kal Unter OS Nossen'!M6:M105)</f>
        <v>121283.63</v>
      </c>
      <c r="D13" s="14"/>
      <c r="E13" s="14"/>
      <c r="F13" s="14"/>
      <c r="G13" s="14"/>
      <c r="H13" s="14"/>
    </row>
    <row r="14" spans="1:8" x14ac:dyDescent="0.25">
      <c r="A14" s="82" t="s">
        <v>175</v>
      </c>
      <c r="B14" s="79"/>
      <c r="C14" s="80">
        <f ca="1">SUMIF('Kal Unter OS Nossen'!J6:M105,$A$14,'Kal Unter OS Nossen'!M6:M105)</f>
        <v>14675.759999999998</v>
      </c>
      <c r="D14" s="14"/>
      <c r="E14" s="14"/>
      <c r="F14" s="14"/>
      <c r="G14" s="14"/>
      <c r="H14" s="14"/>
    </row>
  </sheetData>
  <sheetProtection algorithmName="SHA-512" hashValue="QbXVdYwcAthlKSpLk1ucKb5UumrDKl/RhZbT/gGWN3vCZtMtJMo7WeQjd3pp7e9yvf9W5tOh1cjKXpJxMRM2Hg==" saltValue="i/7p65CsG2NJGvNNWIsCBg==" spinCount="100000" sheet="1" objects="1" scenarios="1" formatCells="0" formatColumns="0" formatRows="0" insertColumns="0" insertRows="0" insertHyperlinks="0" deleteColumns="0" deleteRows="0"/>
  <protectedRanges>
    <protectedRange sqref="B6:B14" name="Bereich1"/>
  </protectedRanges>
  <mergeCells count="1">
    <mergeCell ref="A4:C4"/>
  </mergeCells>
  <hyperlinks>
    <hyperlink ref="C1" location="Inhaltsverzeichnis!A1" display="Zurück zum Inhaltsverzeichnis" xr:uid="{70CC78D8-C283-4272-851C-B16B265A9631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52E4D-246A-44DB-A527-666669236F7C}">
  <dimension ref="A1:S105"/>
  <sheetViews>
    <sheetView topLeftCell="A85" workbookViewId="0">
      <selection activeCell="V26" sqref="V26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162</v>
      </c>
      <c r="B3" s="14" t="s">
        <v>412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177</v>
      </c>
      <c r="B4" s="77" t="s">
        <v>178</v>
      </c>
      <c r="C4" s="84" t="s">
        <v>179</v>
      </c>
      <c r="D4" s="84" t="s">
        <v>180</v>
      </c>
      <c r="E4" s="77" t="s">
        <v>181</v>
      </c>
      <c r="F4" s="84" t="s">
        <v>182</v>
      </c>
      <c r="G4" s="77" t="s">
        <v>183</v>
      </c>
      <c r="H4" s="77" t="s">
        <v>184</v>
      </c>
      <c r="I4" s="77" t="s">
        <v>185</v>
      </c>
      <c r="J4" s="77" t="s">
        <v>186</v>
      </c>
      <c r="K4" s="77" t="s">
        <v>187</v>
      </c>
      <c r="L4" s="77" t="s">
        <v>222</v>
      </c>
      <c r="M4" s="77" t="s">
        <v>188</v>
      </c>
      <c r="N4" s="77" t="s">
        <v>189</v>
      </c>
      <c r="O4" s="77" t="s">
        <v>190</v>
      </c>
      <c r="P4" s="77" t="s">
        <v>191</v>
      </c>
      <c r="Q4" s="77" t="s">
        <v>192</v>
      </c>
      <c r="R4" s="77" t="s">
        <v>193</v>
      </c>
      <c r="S4" s="77" t="s">
        <v>194</v>
      </c>
    </row>
    <row r="5" spans="1:19" x14ac:dyDescent="0.25">
      <c r="A5" s="85" t="s">
        <v>195</v>
      </c>
      <c r="B5" s="62"/>
      <c r="C5" s="62"/>
      <c r="D5" s="62"/>
      <c r="E5" s="62"/>
      <c r="F5" s="62"/>
      <c r="G5" s="86">
        <f>SUM(G6:G105)</f>
        <v>3798.4999999999995</v>
      </c>
      <c r="H5" s="86">
        <f>SUM(H6:H105)</f>
        <v>0</v>
      </c>
      <c r="I5" s="86">
        <f>SUM(I6:I105)</f>
        <v>4</v>
      </c>
      <c r="J5" s="87"/>
      <c r="K5" s="87"/>
      <c r="L5" s="88">
        <f>MAX(L6:L105)</f>
        <v>187</v>
      </c>
      <c r="M5" s="86">
        <f>SUM(M6:M105)</f>
        <v>656360.80000000005</v>
      </c>
      <c r="N5" s="87"/>
      <c r="O5" s="87"/>
      <c r="P5" s="86">
        <f>SUM(P6:P105)</f>
        <v>0</v>
      </c>
      <c r="Q5" s="86">
        <f>SUM(Q6:Q105)</f>
        <v>0</v>
      </c>
      <c r="R5" s="86">
        <f>P5/L5</f>
        <v>0</v>
      </c>
      <c r="S5" s="86">
        <f t="shared" ref="S5:S6" si="0">ROUND(IF(Q5=0,0,Q5/L5),2)</f>
        <v>0</v>
      </c>
    </row>
    <row r="6" spans="1:19" x14ac:dyDescent="0.25">
      <c r="A6" s="62">
        <v>1</v>
      </c>
      <c r="B6" s="89" t="s">
        <v>233</v>
      </c>
      <c r="C6" s="89" t="s">
        <v>198</v>
      </c>
      <c r="D6" s="89" t="s">
        <v>208</v>
      </c>
      <c r="E6" s="62" t="s">
        <v>234</v>
      </c>
      <c r="F6" s="62" t="s">
        <v>200</v>
      </c>
      <c r="G6" s="106">
        <v>10.27</v>
      </c>
      <c r="H6" s="87"/>
      <c r="I6" s="87"/>
      <c r="J6" s="89" t="s">
        <v>170</v>
      </c>
      <c r="K6" s="90">
        <v>0.5</v>
      </c>
      <c r="L6" s="87">
        <f>VLOOKUP(K6,Reinigungstage!$A$10:$B$31,2,FALSE)</f>
        <v>19.420000000000002</v>
      </c>
      <c r="M6" s="87">
        <f t="shared" ref="M6:M69" si="1">ROUND(IF(L6=0,0,L6*G6),2)</f>
        <v>199.44</v>
      </c>
      <c r="N6" s="91">
        <f>VLOOKUP(J6,'Lei Unter OS Nossen'!$A$6:$B$14,2,0)</f>
        <v>0</v>
      </c>
      <c r="O6" s="92" t="str">
        <f ca="1">'SVS UnterhaltsRG'!$H$61</f>
        <v/>
      </c>
      <c r="P6" s="87">
        <f t="shared" ref="P6" si="2">ROUND(IF(N6=0,0,M6/N6),2)</f>
        <v>0</v>
      </c>
      <c r="Q6" s="87">
        <f t="shared" ref="Q6" si="3">ROUND(IF(P6=0,0,P6*O6),2)</f>
        <v>0</v>
      </c>
      <c r="R6" s="87">
        <f t="shared" ref="R6" si="4">ROUND(IF(P6=0,0,P6/L6),2)</f>
        <v>0</v>
      </c>
      <c r="S6" s="87">
        <f t="shared" si="0"/>
        <v>0</v>
      </c>
    </row>
    <row r="7" spans="1:19" x14ac:dyDescent="0.25">
      <c r="A7" s="62">
        <v>2</v>
      </c>
      <c r="B7" s="93" t="s">
        <v>257</v>
      </c>
      <c r="C7" s="89" t="s">
        <v>198</v>
      </c>
      <c r="D7" s="89" t="s">
        <v>208</v>
      </c>
      <c r="E7" s="62" t="s">
        <v>235</v>
      </c>
      <c r="F7" s="62" t="s">
        <v>200</v>
      </c>
      <c r="G7" s="106">
        <v>16.37</v>
      </c>
      <c r="H7" s="87"/>
      <c r="I7" s="87"/>
      <c r="J7" s="89" t="s">
        <v>170</v>
      </c>
      <c r="K7" s="90" t="s">
        <v>199</v>
      </c>
      <c r="L7" s="87">
        <f>VLOOKUP(K7,Reinigungstage!$A$10:$B$31,2,FALSE)</f>
        <v>11</v>
      </c>
      <c r="M7" s="87">
        <f t="shared" si="1"/>
        <v>180.07</v>
      </c>
      <c r="N7" s="91">
        <f>VLOOKUP(J7,'Lei Unter OS Nossen'!$A$6:$B$14,2,0)</f>
        <v>0</v>
      </c>
      <c r="O7" s="92" t="str">
        <f ca="1">'SVS UnterhaltsRG'!$H$61</f>
        <v/>
      </c>
      <c r="P7" s="87">
        <f t="shared" ref="P7:P70" si="5">ROUND(IF(N7=0,0,M7/N7),2)</f>
        <v>0</v>
      </c>
      <c r="Q7" s="87">
        <f t="shared" ref="Q7:Q70" si="6">ROUND(IF(P7=0,0,P7*O7),2)</f>
        <v>0</v>
      </c>
      <c r="R7" s="87">
        <f t="shared" ref="R7:R70" si="7">ROUND(IF(P7=0,0,P7/L7),2)</f>
        <v>0</v>
      </c>
      <c r="S7" s="87">
        <f t="shared" ref="S7:S70" si="8">ROUND(IF(Q7=0,0,Q7/L7),2)</f>
        <v>0</v>
      </c>
    </row>
    <row r="8" spans="1:19" x14ac:dyDescent="0.25">
      <c r="A8" s="62">
        <v>3</v>
      </c>
      <c r="B8" s="89" t="s">
        <v>258</v>
      </c>
      <c r="C8" s="89" t="s">
        <v>198</v>
      </c>
      <c r="D8" s="89" t="s">
        <v>208</v>
      </c>
      <c r="E8" s="62" t="s">
        <v>236</v>
      </c>
      <c r="F8" s="62" t="s">
        <v>200</v>
      </c>
      <c r="G8" s="106">
        <v>6.12</v>
      </c>
      <c r="H8" s="87"/>
      <c r="I8" s="87"/>
      <c r="J8" s="89" t="s">
        <v>174</v>
      </c>
      <c r="K8" s="90">
        <v>0.5</v>
      </c>
      <c r="L8" s="87">
        <f>VLOOKUP(K8,Reinigungstage!$A$10:$B$31,2,FALSE)</f>
        <v>19.420000000000002</v>
      </c>
      <c r="M8" s="87">
        <f t="shared" si="1"/>
        <v>118.85</v>
      </c>
      <c r="N8" s="91">
        <f>VLOOKUP(J8,'Lei Unter OS Nossen'!$A$6:$B$14,2,0)</f>
        <v>0</v>
      </c>
      <c r="O8" s="92" t="str">
        <f ca="1">'SVS UnterhaltsRG'!$H$61</f>
        <v/>
      </c>
      <c r="P8" s="87">
        <f t="shared" si="5"/>
        <v>0</v>
      </c>
      <c r="Q8" s="87">
        <f t="shared" si="6"/>
        <v>0</v>
      </c>
      <c r="R8" s="87">
        <f t="shared" si="7"/>
        <v>0</v>
      </c>
      <c r="S8" s="87">
        <f t="shared" si="8"/>
        <v>0</v>
      </c>
    </row>
    <row r="9" spans="1:19" x14ac:dyDescent="0.25">
      <c r="A9" s="62">
        <v>4</v>
      </c>
      <c r="B9" s="89" t="s">
        <v>259</v>
      </c>
      <c r="C9" s="89" t="s">
        <v>198</v>
      </c>
      <c r="D9" s="89" t="s">
        <v>208</v>
      </c>
      <c r="E9" s="62" t="s">
        <v>237</v>
      </c>
      <c r="F9" s="62" t="s">
        <v>229</v>
      </c>
      <c r="G9" s="106">
        <v>28.650000000000002</v>
      </c>
      <c r="H9" s="87"/>
      <c r="I9" s="87"/>
      <c r="J9" s="89" t="s">
        <v>174</v>
      </c>
      <c r="K9" s="90">
        <v>5</v>
      </c>
      <c r="L9" s="87">
        <f>VLOOKUP(K9,Reinigungstage!$A$10:$B$31,2,FALSE)</f>
        <v>187</v>
      </c>
      <c r="M9" s="87">
        <f t="shared" si="1"/>
        <v>5357.55</v>
      </c>
      <c r="N9" s="91">
        <f>VLOOKUP(J9,'Lei Unter OS Nossen'!$A$6:$B$14,2,0)</f>
        <v>0</v>
      </c>
      <c r="O9" s="92" t="str">
        <f ca="1">'SVS UnterhaltsRG'!$H$61</f>
        <v/>
      </c>
      <c r="P9" s="87">
        <f t="shared" si="5"/>
        <v>0</v>
      </c>
      <c r="Q9" s="87">
        <f t="shared" si="6"/>
        <v>0</v>
      </c>
      <c r="R9" s="87">
        <f t="shared" si="7"/>
        <v>0</v>
      </c>
      <c r="S9" s="87">
        <f t="shared" si="8"/>
        <v>0</v>
      </c>
    </row>
    <row r="10" spans="1:19" x14ac:dyDescent="0.25">
      <c r="A10" s="62">
        <v>5</v>
      </c>
      <c r="B10" s="89" t="s">
        <v>260</v>
      </c>
      <c r="C10" s="89" t="s">
        <v>198</v>
      </c>
      <c r="D10" s="89" t="s">
        <v>208</v>
      </c>
      <c r="E10" s="62" t="s">
        <v>238</v>
      </c>
      <c r="F10" s="62" t="s">
        <v>229</v>
      </c>
      <c r="G10" s="106">
        <v>32.42</v>
      </c>
      <c r="H10" s="87"/>
      <c r="I10" s="87"/>
      <c r="J10" s="89" t="s">
        <v>171</v>
      </c>
      <c r="K10" s="90">
        <v>5</v>
      </c>
      <c r="L10" s="87">
        <f>VLOOKUP(K10,Reinigungstage!$A$10:$B$31,2,FALSE)</f>
        <v>187</v>
      </c>
      <c r="M10" s="87">
        <f t="shared" si="1"/>
        <v>6062.54</v>
      </c>
      <c r="N10" s="91">
        <f>VLOOKUP(J10,'Lei Unter OS Nossen'!$A$6:$B$14,2,0)</f>
        <v>0</v>
      </c>
      <c r="O10" s="92" t="str">
        <f ca="1">'SVS UnterhaltsRG'!$H$61</f>
        <v/>
      </c>
      <c r="P10" s="87">
        <f t="shared" si="5"/>
        <v>0</v>
      </c>
      <c r="Q10" s="87">
        <f t="shared" si="6"/>
        <v>0</v>
      </c>
      <c r="R10" s="87">
        <f t="shared" si="7"/>
        <v>0</v>
      </c>
      <c r="S10" s="87">
        <f t="shared" si="8"/>
        <v>0</v>
      </c>
    </row>
    <row r="11" spans="1:19" x14ac:dyDescent="0.25">
      <c r="A11" s="62">
        <v>6</v>
      </c>
      <c r="B11" s="89" t="s">
        <v>261</v>
      </c>
      <c r="C11" s="89" t="s">
        <v>198</v>
      </c>
      <c r="D11" s="89" t="s">
        <v>208</v>
      </c>
      <c r="E11" s="107" t="s">
        <v>239</v>
      </c>
      <c r="F11" s="62" t="s">
        <v>229</v>
      </c>
      <c r="G11" s="106">
        <v>40.15</v>
      </c>
      <c r="H11" s="87"/>
      <c r="I11" s="87"/>
      <c r="J11" s="89" t="s">
        <v>171</v>
      </c>
      <c r="K11" s="90">
        <v>5</v>
      </c>
      <c r="L11" s="87">
        <f>VLOOKUP(K11,Reinigungstage!$A$10:$B$31,2,FALSE)</f>
        <v>187</v>
      </c>
      <c r="M11" s="87">
        <f t="shared" si="1"/>
        <v>7508.05</v>
      </c>
      <c r="N11" s="91">
        <f>VLOOKUP(J11,'Lei Unter OS Nossen'!$A$6:$B$14,2,0)</f>
        <v>0</v>
      </c>
      <c r="O11" s="92" t="str">
        <f ca="1">'SVS UnterhaltsRG'!$H$61</f>
        <v/>
      </c>
      <c r="P11" s="87">
        <f t="shared" si="5"/>
        <v>0</v>
      </c>
      <c r="Q11" s="87">
        <f t="shared" si="6"/>
        <v>0</v>
      </c>
      <c r="R11" s="87">
        <f t="shared" si="7"/>
        <v>0</v>
      </c>
      <c r="S11" s="87">
        <f t="shared" si="8"/>
        <v>0</v>
      </c>
    </row>
    <row r="12" spans="1:19" x14ac:dyDescent="0.25">
      <c r="A12" s="62">
        <v>7</v>
      </c>
      <c r="B12" s="89" t="s">
        <v>262</v>
      </c>
      <c r="C12" s="89" t="s">
        <v>198</v>
      </c>
      <c r="D12" s="89" t="s">
        <v>208</v>
      </c>
      <c r="E12" s="107" t="s">
        <v>240</v>
      </c>
      <c r="F12" s="110" t="s">
        <v>197</v>
      </c>
      <c r="G12" s="109">
        <v>16.41</v>
      </c>
      <c r="H12" s="87"/>
      <c r="I12" s="87"/>
      <c r="J12" s="89" t="s">
        <v>172</v>
      </c>
      <c r="K12" s="90">
        <v>5</v>
      </c>
      <c r="L12" s="87">
        <f>VLOOKUP(K12,Reinigungstage!$A$10:$B$31,2,FALSE)</f>
        <v>187</v>
      </c>
      <c r="M12" s="87">
        <f t="shared" si="1"/>
        <v>3068.67</v>
      </c>
      <c r="N12" s="91">
        <f>VLOOKUP(J12,'Lei Unter OS Nossen'!$A$6:$B$14,2,0)</f>
        <v>0</v>
      </c>
      <c r="O12" s="92" t="str">
        <f ca="1">'SVS UnterhaltsRG'!$H$61</f>
        <v/>
      </c>
      <c r="P12" s="87">
        <f t="shared" si="5"/>
        <v>0</v>
      </c>
      <c r="Q12" s="87">
        <f t="shared" si="6"/>
        <v>0</v>
      </c>
      <c r="R12" s="87">
        <f t="shared" si="7"/>
        <v>0</v>
      </c>
      <c r="S12" s="87">
        <f t="shared" si="8"/>
        <v>0</v>
      </c>
    </row>
    <row r="13" spans="1:19" x14ac:dyDescent="0.25">
      <c r="A13" s="62">
        <v>8</v>
      </c>
      <c r="B13" s="89" t="s">
        <v>263</v>
      </c>
      <c r="C13" s="89" t="s">
        <v>198</v>
      </c>
      <c r="D13" s="89" t="s">
        <v>208</v>
      </c>
      <c r="E13" s="107" t="s">
        <v>241</v>
      </c>
      <c r="F13" s="110" t="s">
        <v>197</v>
      </c>
      <c r="G13" s="109">
        <v>84.91</v>
      </c>
      <c r="H13" s="87"/>
      <c r="I13" s="87"/>
      <c r="J13" s="89" t="s">
        <v>173</v>
      </c>
      <c r="K13" s="90">
        <v>5</v>
      </c>
      <c r="L13" s="87">
        <f>VLOOKUP(K13,Reinigungstage!$A$10:$B$31,2,FALSE)</f>
        <v>187</v>
      </c>
      <c r="M13" s="87">
        <f t="shared" si="1"/>
        <v>15878.17</v>
      </c>
      <c r="N13" s="91">
        <f>VLOOKUP(J13,'Lei Unter OS Nossen'!$A$6:$B$14,2,0)</f>
        <v>0</v>
      </c>
      <c r="O13" s="92" t="str">
        <f ca="1">'SVS UnterhaltsRG'!$H$61</f>
        <v/>
      </c>
      <c r="P13" s="87">
        <f t="shared" si="5"/>
        <v>0</v>
      </c>
      <c r="Q13" s="87">
        <f t="shared" si="6"/>
        <v>0</v>
      </c>
      <c r="R13" s="87">
        <f t="shared" si="7"/>
        <v>0</v>
      </c>
      <c r="S13" s="87">
        <f t="shared" si="8"/>
        <v>0</v>
      </c>
    </row>
    <row r="14" spans="1:19" x14ac:dyDescent="0.25">
      <c r="A14" s="62">
        <v>9</v>
      </c>
      <c r="B14" s="93" t="s">
        <v>264</v>
      </c>
      <c r="C14" s="89" t="s">
        <v>198</v>
      </c>
      <c r="D14" s="89" t="s">
        <v>208</v>
      </c>
      <c r="E14" s="108" t="s">
        <v>242</v>
      </c>
      <c r="F14" s="110" t="s">
        <v>229</v>
      </c>
      <c r="G14" s="106">
        <v>15.52</v>
      </c>
      <c r="H14" s="87"/>
      <c r="I14" s="87"/>
      <c r="J14" s="89" t="s">
        <v>174</v>
      </c>
      <c r="K14" s="90">
        <v>5</v>
      </c>
      <c r="L14" s="87">
        <f>VLOOKUP(K14,Reinigungstage!$A$10:$B$31,2,FALSE)</f>
        <v>187</v>
      </c>
      <c r="M14" s="87">
        <f t="shared" si="1"/>
        <v>2902.24</v>
      </c>
      <c r="N14" s="91">
        <f>VLOOKUP(J14,'Lei Unter OS Nossen'!$A$6:$B$14,2,0)</f>
        <v>0</v>
      </c>
      <c r="O14" s="92" t="str">
        <f ca="1">'SVS UnterhaltsRG'!$H$61</f>
        <v/>
      </c>
      <c r="P14" s="87">
        <f t="shared" si="5"/>
        <v>0</v>
      </c>
      <c r="Q14" s="87">
        <f t="shared" si="6"/>
        <v>0</v>
      </c>
      <c r="R14" s="87">
        <f t="shared" si="7"/>
        <v>0</v>
      </c>
      <c r="S14" s="87">
        <f t="shared" si="8"/>
        <v>0</v>
      </c>
    </row>
    <row r="15" spans="1:19" x14ac:dyDescent="0.25">
      <c r="A15" s="62">
        <v>10</v>
      </c>
      <c r="B15" s="89" t="s">
        <v>265</v>
      </c>
      <c r="C15" s="89" t="s">
        <v>198</v>
      </c>
      <c r="D15" s="89" t="s">
        <v>208</v>
      </c>
      <c r="E15" s="108" t="s">
        <v>243</v>
      </c>
      <c r="F15" s="110" t="s">
        <v>197</v>
      </c>
      <c r="G15" s="106">
        <v>93.61</v>
      </c>
      <c r="H15" s="87"/>
      <c r="I15" s="87"/>
      <c r="J15" s="89" t="s">
        <v>173</v>
      </c>
      <c r="K15" s="90">
        <v>5</v>
      </c>
      <c r="L15" s="87">
        <f>VLOOKUP(K15,Reinigungstage!$A$10:$B$31,2,FALSE)</f>
        <v>187</v>
      </c>
      <c r="M15" s="87">
        <f t="shared" si="1"/>
        <v>17505.07</v>
      </c>
      <c r="N15" s="91">
        <f>VLOOKUP(J15,'Lei Unter OS Nossen'!$A$6:$B$14,2,0)</f>
        <v>0</v>
      </c>
      <c r="O15" s="92" t="str">
        <f ca="1">'SVS UnterhaltsRG'!$H$61</f>
        <v/>
      </c>
      <c r="P15" s="87">
        <f t="shared" si="5"/>
        <v>0</v>
      </c>
      <c r="Q15" s="87">
        <f t="shared" si="6"/>
        <v>0</v>
      </c>
      <c r="R15" s="87">
        <f t="shared" si="7"/>
        <v>0</v>
      </c>
      <c r="S15" s="87">
        <f t="shared" si="8"/>
        <v>0</v>
      </c>
    </row>
    <row r="16" spans="1:19" x14ac:dyDescent="0.25">
      <c r="A16" s="62">
        <v>11</v>
      </c>
      <c r="B16" s="89" t="s">
        <v>266</v>
      </c>
      <c r="C16" s="89" t="s">
        <v>198</v>
      </c>
      <c r="D16" s="89" t="s">
        <v>208</v>
      </c>
      <c r="E16" s="108" t="s">
        <v>244</v>
      </c>
      <c r="F16" s="110" t="s">
        <v>229</v>
      </c>
      <c r="G16" s="106">
        <v>32.21</v>
      </c>
      <c r="H16" s="87"/>
      <c r="I16" s="87"/>
      <c r="J16" s="89" t="s">
        <v>171</v>
      </c>
      <c r="K16" s="90">
        <v>5</v>
      </c>
      <c r="L16" s="87">
        <f>VLOOKUP(K16,Reinigungstage!$A$10:$B$31,2,FALSE)</f>
        <v>187</v>
      </c>
      <c r="M16" s="87">
        <f t="shared" si="1"/>
        <v>6023.27</v>
      </c>
      <c r="N16" s="91">
        <f>VLOOKUP(J16,'Lei Unter OS Nossen'!$A$6:$B$14,2,0)</f>
        <v>0</v>
      </c>
      <c r="O16" s="92" t="str">
        <f ca="1">'SVS UnterhaltsRG'!$H$61</f>
        <v/>
      </c>
      <c r="P16" s="87">
        <f t="shared" si="5"/>
        <v>0</v>
      </c>
      <c r="Q16" s="87">
        <f t="shared" si="6"/>
        <v>0</v>
      </c>
      <c r="R16" s="87">
        <f t="shared" si="7"/>
        <v>0</v>
      </c>
      <c r="S16" s="87">
        <f t="shared" si="8"/>
        <v>0</v>
      </c>
    </row>
    <row r="17" spans="1:19" x14ac:dyDescent="0.25">
      <c r="A17" s="62">
        <v>12</v>
      </c>
      <c r="B17" s="93" t="s">
        <v>267</v>
      </c>
      <c r="C17" s="89" t="s">
        <v>198</v>
      </c>
      <c r="D17" s="89" t="s">
        <v>208</v>
      </c>
      <c r="E17" s="108" t="s">
        <v>245</v>
      </c>
      <c r="F17" s="110" t="s">
        <v>229</v>
      </c>
      <c r="G17" s="106">
        <v>30.22</v>
      </c>
      <c r="H17" s="87"/>
      <c r="I17" s="87"/>
      <c r="J17" s="89" t="s">
        <v>174</v>
      </c>
      <c r="K17" s="90">
        <v>5</v>
      </c>
      <c r="L17" s="87">
        <f>VLOOKUP(K17,Reinigungstage!$A$10:$B$31,2,FALSE)</f>
        <v>187</v>
      </c>
      <c r="M17" s="87">
        <f t="shared" si="1"/>
        <v>5651.14</v>
      </c>
      <c r="N17" s="91">
        <f>VLOOKUP(J17,'Lei Unter OS Nossen'!$A$6:$B$14,2,0)</f>
        <v>0</v>
      </c>
      <c r="O17" s="92" t="str">
        <f ca="1">'SVS UnterhaltsRG'!$H$61</f>
        <v/>
      </c>
      <c r="P17" s="87">
        <f t="shared" si="5"/>
        <v>0</v>
      </c>
      <c r="Q17" s="87">
        <f t="shared" si="6"/>
        <v>0</v>
      </c>
      <c r="R17" s="87">
        <f t="shared" si="7"/>
        <v>0</v>
      </c>
      <c r="S17" s="87">
        <f t="shared" si="8"/>
        <v>0</v>
      </c>
    </row>
    <row r="18" spans="1:19" x14ac:dyDescent="0.25">
      <c r="A18" s="62">
        <v>13</v>
      </c>
      <c r="B18" s="89" t="s">
        <v>268</v>
      </c>
      <c r="C18" s="89" t="s">
        <v>198</v>
      </c>
      <c r="D18" s="89" t="s">
        <v>208</v>
      </c>
      <c r="E18" s="108" t="s">
        <v>246</v>
      </c>
      <c r="F18" s="110" t="s">
        <v>197</v>
      </c>
      <c r="G18" s="106">
        <v>17.73</v>
      </c>
      <c r="H18" s="87"/>
      <c r="I18" s="87"/>
      <c r="J18" s="89" t="s">
        <v>168</v>
      </c>
      <c r="K18" s="90">
        <v>2</v>
      </c>
      <c r="L18" s="87">
        <f>VLOOKUP(K18,Reinigungstage!$A$10:$B$31,2,FALSE)</f>
        <v>77.7</v>
      </c>
      <c r="M18" s="87">
        <f t="shared" si="1"/>
        <v>1377.62</v>
      </c>
      <c r="N18" s="91">
        <f>VLOOKUP(J18,'Lei Unter OS Nossen'!$A$6:$B$14,2,0)</f>
        <v>0</v>
      </c>
      <c r="O18" s="92" t="str">
        <f ca="1">'SVS UnterhaltsRG'!$H$61</f>
        <v/>
      </c>
      <c r="P18" s="87">
        <f t="shared" si="5"/>
        <v>0</v>
      </c>
      <c r="Q18" s="87">
        <f t="shared" si="6"/>
        <v>0</v>
      </c>
      <c r="R18" s="87">
        <f t="shared" si="7"/>
        <v>0</v>
      </c>
      <c r="S18" s="87">
        <f t="shared" si="8"/>
        <v>0</v>
      </c>
    </row>
    <row r="19" spans="1:19" x14ac:dyDescent="0.25">
      <c r="A19" s="62">
        <v>14</v>
      </c>
      <c r="B19" s="89" t="s">
        <v>269</v>
      </c>
      <c r="C19" s="89" t="s">
        <v>198</v>
      </c>
      <c r="D19" s="89" t="s">
        <v>208</v>
      </c>
      <c r="E19" s="108" t="s">
        <v>240</v>
      </c>
      <c r="F19" s="110" t="s">
        <v>197</v>
      </c>
      <c r="G19" s="106">
        <v>50.47</v>
      </c>
      <c r="H19" s="87"/>
      <c r="I19" s="87"/>
      <c r="J19" s="89" t="s">
        <v>172</v>
      </c>
      <c r="K19" s="90">
        <v>5</v>
      </c>
      <c r="L19" s="87">
        <f>VLOOKUP(K19,Reinigungstage!$A$10:$B$31,2,FALSE)</f>
        <v>187</v>
      </c>
      <c r="M19" s="87">
        <f t="shared" si="1"/>
        <v>9437.89</v>
      </c>
      <c r="N19" s="91">
        <f>VLOOKUP(J19,'Lei Unter OS Nossen'!$A$6:$B$14,2,0)</f>
        <v>0</v>
      </c>
      <c r="O19" s="92" t="str">
        <f ca="1">'SVS UnterhaltsRG'!$H$61</f>
        <v/>
      </c>
      <c r="P19" s="87">
        <f t="shared" si="5"/>
        <v>0</v>
      </c>
      <c r="Q19" s="87">
        <f t="shared" si="6"/>
        <v>0</v>
      </c>
      <c r="R19" s="87">
        <f t="shared" si="7"/>
        <v>0</v>
      </c>
      <c r="S19" s="87">
        <f t="shared" si="8"/>
        <v>0</v>
      </c>
    </row>
    <row r="20" spans="1:19" x14ac:dyDescent="0.25">
      <c r="A20" s="62">
        <v>15</v>
      </c>
      <c r="B20" s="93" t="s">
        <v>270</v>
      </c>
      <c r="C20" s="89" t="s">
        <v>198</v>
      </c>
      <c r="D20" s="89" t="s">
        <v>208</v>
      </c>
      <c r="E20" s="108" t="s">
        <v>247</v>
      </c>
      <c r="F20" s="110" t="s">
        <v>197</v>
      </c>
      <c r="G20" s="109">
        <v>50.47</v>
      </c>
      <c r="H20" s="87"/>
      <c r="I20" s="87"/>
      <c r="J20" s="89" t="s">
        <v>168</v>
      </c>
      <c r="K20" s="90">
        <v>5</v>
      </c>
      <c r="L20" s="87">
        <f>VLOOKUP(K20,Reinigungstage!$A$10:$B$31,2,FALSE)</f>
        <v>187</v>
      </c>
      <c r="M20" s="87">
        <f t="shared" si="1"/>
        <v>9437.89</v>
      </c>
      <c r="N20" s="91">
        <f>VLOOKUP(J20,'Lei Unter OS Nossen'!$A$6:$B$14,2,0)</f>
        <v>0</v>
      </c>
      <c r="O20" s="92" t="str">
        <f ca="1">'SVS UnterhaltsRG'!$H$61</f>
        <v/>
      </c>
      <c r="P20" s="87">
        <f t="shared" si="5"/>
        <v>0</v>
      </c>
      <c r="Q20" s="87">
        <f t="shared" si="6"/>
        <v>0</v>
      </c>
      <c r="R20" s="87">
        <f t="shared" si="7"/>
        <v>0</v>
      </c>
      <c r="S20" s="87">
        <f t="shared" si="8"/>
        <v>0</v>
      </c>
    </row>
    <row r="21" spans="1:19" x14ac:dyDescent="0.25">
      <c r="A21" s="62">
        <v>16</v>
      </c>
      <c r="B21" s="89" t="s">
        <v>271</v>
      </c>
      <c r="C21" s="89" t="s">
        <v>198</v>
      </c>
      <c r="D21" s="89" t="s">
        <v>208</v>
      </c>
      <c r="E21" s="108" t="s">
        <v>248</v>
      </c>
      <c r="F21" s="110" t="s">
        <v>197</v>
      </c>
      <c r="G21" s="109">
        <v>50.47</v>
      </c>
      <c r="H21" s="87"/>
      <c r="I21" s="87"/>
      <c r="J21" s="89" t="s">
        <v>175</v>
      </c>
      <c r="K21" s="90">
        <v>5</v>
      </c>
      <c r="L21" s="87">
        <f>VLOOKUP(K21,Reinigungstage!$A$10:$B$31,2,FALSE)</f>
        <v>187</v>
      </c>
      <c r="M21" s="87">
        <f t="shared" si="1"/>
        <v>9437.89</v>
      </c>
      <c r="N21" s="91">
        <f>VLOOKUP(J21,'Lei Unter OS Nossen'!$A$6:$B$14,2,0)</f>
        <v>0</v>
      </c>
      <c r="O21" s="92" t="str">
        <f ca="1">'SVS UnterhaltsRG'!$H$61</f>
        <v/>
      </c>
      <c r="P21" s="87">
        <f t="shared" si="5"/>
        <v>0</v>
      </c>
      <c r="Q21" s="87">
        <f t="shared" si="6"/>
        <v>0</v>
      </c>
      <c r="R21" s="87">
        <f t="shared" si="7"/>
        <v>0</v>
      </c>
      <c r="S21" s="87">
        <f t="shared" si="8"/>
        <v>0</v>
      </c>
    </row>
    <row r="22" spans="1:19" x14ac:dyDescent="0.25">
      <c r="A22" s="62">
        <v>17</v>
      </c>
      <c r="B22" s="89" t="s">
        <v>272</v>
      </c>
      <c r="C22" s="89" t="s">
        <v>198</v>
      </c>
      <c r="D22" s="89" t="s">
        <v>208</v>
      </c>
      <c r="E22" s="108" t="s">
        <v>249</v>
      </c>
      <c r="F22" s="110" t="s">
        <v>229</v>
      </c>
      <c r="G22" s="109">
        <v>17.73</v>
      </c>
      <c r="H22" s="87"/>
      <c r="I22" s="87"/>
      <c r="J22" s="89" t="s">
        <v>174</v>
      </c>
      <c r="K22" s="90">
        <v>5</v>
      </c>
      <c r="L22" s="87">
        <f>VLOOKUP(K22,Reinigungstage!$A$10:$B$31,2,FALSE)</f>
        <v>187</v>
      </c>
      <c r="M22" s="87">
        <f t="shared" si="1"/>
        <v>3315.51</v>
      </c>
      <c r="N22" s="91">
        <f>VLOOKUP(J22,'Lei Unter OS Nossen'!$A$6:$B$14,2,0)</f>
        <v>0</v>
      </c>
      <c r="O22" s="92" t="str">
        <f ca="1">'SVS UnterhaltsRG'!$H$61</f>
        <v/>
      </c>
      <c r="P22" s="87">
        <f t="shared" si="5"/>
        <v>0</v>
      </c>
      <c r="Q22" s="87">
        <f t="shared" si="6"/>
        <v>0</v>
      </c>
      <c r="R22" s="87">
        <f t="shared" si="7"/>
        <v>0</v>
      </c>
      <c r="S22" s="87">
        <f t="shared" si="8"/>
        <v>0</v>
      </c>
    </row>
    <row r="23" spans="1:19" x14ac:dyDescent="0.25">
      <c r="A23" s="62">
        <v>18</v>
      </c>
      <c r="B23" s="93" t="s">
        <v>273</v>
      </c>
      <c r="C23" s="89" t="s">
        <v>198</v>
      </c>
      <c r="D23" s="89" t="s">
        <v>208</v>
      </c>
      <c r="E23" s="108" t="s">
        <v>250</v>
      </c>
      <c r="F23" s="110" t="s">
        <v>200</v>
      </c>
      <c r="G23" s="106">
        <v>28.01</v>
      </c>
      <c r="H23" s="87"/>
      <c r="I23" s="87"/>
      <c r="J23" s="89" t="s">
        <v>175</v>
      </c>
      <c r="K23" s="90">
        <v>5</v>
      </c>
      <c r="L23" s="87">
        <f>VLOOKUP(K23,Reinigungstage!$A$10:$B$31,2,FALSE)</f>
        <v>187</v>
      </c>
      <c r="M23" s="87">
        <f t="shared" si="1"/>
        <v>5237.87</v>
      </c>
      <c r="N23" s="91">
        <f>VLOOKUP(J23,'Lei Unter OS Nossen'!$A$6:$B$14,2,0)</f>
        <v>0</v>
      </c>
      <c r="O23" s="92" t="str">
        <f ca="1">'SVS UnterhaltsRG'!$H$61</f>
        <v/>
      </c>
      <c r="P23" s="87">
        <f t="shared" si="5"/>
        <v>0</v>
      </c>
      <c r="Q23" s="87">
        <f t="shared" si="6"/>
        <v>0</v>
      </c>
      <c r="R23" s="87">
        <f t="shared" si="7"/>
        <v>0</v>
      </c>
      <c r="S23" s="87">
        <f t="shared" si="8"/>
        <v>0</v>
      </c>
    </row>
    <row r="24" spans="1:19" x14ac:dyDescent="0.25">
      <c r="A24" s="62">
        <v>19</v>
      </c>
      <c r="B24" s="89" t="s">
        <v>274</v>
      </c>
      <c r="C24" s="89" t="s">
        <v>198</v>
      </c>
      <c r="D24" s="89" t="s">
        <v>208</v>
      </c>
      <c r="E24" s="108" t="s">
        <v>251</v>
      </c>
      <c r="F24" s="110" t="s">
        <v>229</v>
      </c>
      <c r="G24" s="106">
        <v>30.23</v>
      </c>
      <c r="H24" s="87"/>
      <c r="I24" s="87"/>
      <c r="J24" s="89" t="s">
        <v>174</v>
      </c>
      <c r="K24" s="90">
        <v>5</v>
      </c>
      <c r="L24" s="87">
        <f>VLOOKUP(K24,Reinigungstage!$A$10:$B$31,2,FALSE)</f>
        <v>187</v>
      </c>
      <c r="M24" s="87">
        <f t="shared" si="1"/>
        <v>5653.01</v>
      </c>
      <c r="N24" s="91">
        <f>VLOOKUP(J24,'Lei Unter OS Nossen'!$A$6:$B$14,2,0)</f>
        <v>0</v>
      </c>
      <c r="O24" s="92" t="str">
        <f ca="1">'SVS UnterhaltsRG'!$H$61</f>
        <v/>
      </c>
      <c r="P24" s="87">
        <f t="shared" si="5"/>
        <v>0</v>
      </c>
      <c r="Q24" s="87">
        <f t="shared" si="6"/>
        <v>0</v>
      </c>
      <c r="R24" s="87">
        <f t="shared" si="7"/>
        <v>0</v>
      </c>
      <c r="S24" s="87">
        <f t="shared" si="8"/>
        <v>0</v>
      </c>
    </row>
    <row r="25" spans="1:19" x14ac:dyDescent="0.25">
      <c r="A25" s="62">
        <v>20</v>
      </c>
      <c r="B25" s="89" t="s">
        <v>275</v>
      </c>
      <c r="C25" s="89" t="s">
        <v>198</v>
      </c>
      <c r="D25" s="89" t="s">
        <v>208</v>
      </c>
      <c r="E25" s="108" t="s">
        <v>252</v>
      </c>
      <c r="F25" s="110" t="s">
        <v>229</v>
      </c>
      <c r="G25" s="106">
        <v>15.64</v>
      </c>
      <c r="H25" s="87"/>
      <c r="I25" s="87"/>
      <c r="J25" s="89" t="s">
        <v>174</v>
      </c>
      <c r="K25" s="90">
        <v>5</v>
      </c>
      <c r="L25" s="87">
        <f>VLOOKUP(K25,Reinigungstage!$A$10:$B$31,2,FALSE)</f>
        <v>187</v>
      </c>
      <c r="M25" s="87">
        <f t="shared" si="1"/>
        <v>2924.68</v>
      </c>
      <c r="N25" s="91">
        <f>VLOOKUP(J25,'Lei Unter OS Nossen'!$A$6:$B$14,2,0)</f>
        <v>0</v>
      </c>
      <c r="O25" s="92" t="str">
        <f ca="1">'SVS UnterhaltsRG'!$H$61</f>
        <v/>
      </c>
      <c r="P25" s="87">
        <f t="shared" si="5"/>
        <v>0</v>
      </c>
      <c r="Q25" s="87">
        <f t="shared" si="6"/>
        <v>0</v>
      </c>
      <c r="R25" s="87">
        <f t="shared" si="7"/>
        <v>0</v>
      </c>
      <c r="S25" s="87">
        <f t="shared" si="8"/>
        <v>0</v>
      </c>
    </row>
    <row r="26" spans="1:19" x14ac:dyDescent="0.25">
      <c r="A26" s="62">
        <v>21</v>
      </c>
      <c r="B26" s="93" t="s">
        <v>276</v>
      </c>
      <c r="C26" s="89" t="s">
        <v>198</v>
      </c>
      <c r="D26" s="89" t="s">
        <v>208</v>
      </c>
      <c r="E26" s="108" t="s">
        <v>324</v>
      </c>
      <c r="F26" s="110" t="s">
        <v>200</v>
      </c>
      <c r="G26" s="106">
        <v>5.12</v>
      </c>
      <c r="H26" s="87"/>
      <c r="I26" s="87"/>
      <c r="J26" s="89" t="s">
        <v>172</v>
      </c>
      <c r="K26" s="90">
        <v>5</v>
      </c>
      <c r="L26" s="87">
        <f>VLOOKUP(K26,Reinigungstage!$A$10:$B$31,2,FALSE)</f>
        <v>187</v>
      </c>
      <c r="M26" s="87">
        <f t="shared" si="1"/>
        <v>957.44</v>
      </c>
      <c r="N26" s="91">
        <f>VLOOKUP(J26,'Lei Unter OS Nossen'!$A$6:$B$14,2,0)</f>
        <v>0</v>
      </c>
      <c r="O26" s="92" t="str">
        <f ca="1">'SVS UnterhaltsRG'!$H$61</f>
        <v/>
      </c>
      <c r="P26" s="87">
        <f t="shared" si="5"/>
        <v>0</v>
      </c>
      <c r="Q26" s="87">
        <f t="shared" si="6"/>
        <v>0</v>
      </c>
      <c r="R26" s="87">
        <f t="shared" si="7"/>
        <v>0</v>
      </c>
      <c r="S26" s="87">
        <f t="shared" si="8"/>
        <v>0</v>
      </c>
    </row>
    <row r="27" spans="1:19" x14ac:dyDescent="0.25">
      <c r="A27" s="62">
        <v>22</v>
      </c>
      <c r="B27" s="89" t="s">
        <v>277</v>
      </c>
      <c r="C27" s="89" t="s">
        <v>198</v>
      </c>
      <c r="D27" s="89" t="s">
        <v>208</v>
      </c>
      <c r="E27" s="108" t="s">
        <v>253</v>
      </c>
      <c r="F27" s="110" t="s">
        <v>197</v>
      </c>
      <c r="G27" s="106">
        <v>50.54</v>
      </c>
      <c r="H27" s="87"/>
      <c r="I27" s="87"/>
      <c r="J27" s="89" t="s">
        <v>168</v>
      </c>
      <c r="K27" s="90">
        <v>5</v>
      </c>
      <c r="L27" s="87">
        <f>VLOOKUP(K27,Reinigungstage!$A$10:$B$31,2,FALSE)</f>
        <v>187</v>
      </c>
      <c r="M27" s="87">
        <f t="shared" si="1"/>
        <v>9450.98</v>
      </c>
      <c r="N27" s="91">
        <f>VLOOKUP(J27,'Lei Unter OS Nossen'!$A$6:$B$14,2,0)</f>
        <v>0</v>
      </c>
      <c r="O27" s="92" t="str">
        <f ca="1">'SVS UnterhaltsRG'!$H$61</f>
        <v/>
      </c>
      <c r="P27" s="87">
        <f t="shared" si="5"/>
        <v>0</v>
      </c>
      <c r="Q27" s="87">
        <f t="shared" si="6"/>
        <v>0</v>
      </c>
      <c r="R27" s="87">
        <f t="shared" si="7"/>
        <v>0</v>
      </c>
      <c r="S27" s="87">
        <f t="shared" si="8"/>
        <v>0</v>
      </c>
    </row>
    <row r="28" spans="1:19" x14ac:dyDescent="0.25">
      <c r="A28" s="62">
        <v>23</v>
      </c>
      <c r="B28" s="89" t="s">
        <v>278</v>
      </c>
      <c r="C28" s="89" t="s">
        <v>198</v>
      </c>
      <c r="D28" s="89" t="s">
        <v>208</v>
      </c>
      <c r="E28" s="108" t="s">
        <v>254</v>
      </c>
      <c r="F28" s="110" t="s">
        <v>229</v>
      </c>
      <c r="G28" s="106">
        <v>17.73</v>
      </c>
      <c r="H28" s="87"/>
      <c r="I28" s="87"/>
      <c r="J28" s="89" t="s">
        <v>174</v>
      </c>
      <c r="K28" s="90">
        <v>5</v>
      </c>
      <c r="L28" s="87">
        <f>VLOOKUP(K28,Reinigungstage!$A$10:$B$31,2,FALSE)</f>
        <v>187</v>
      </c>
      <c r="M28" s="87">
        <f t="shared" si="1"/>
        <v>3315.51</v>
      </c>
      <c r="N28" s="91">
        <f>VLOOKUP(J28,'Lei Unter OS Nossen'!$A$6:$B$14,2,0)</f>
        <v>0</v>
      </c>
      <c r="O28" s="92" t="str">
        <f ca="1">'SVS UnterhaltsRG'!$H$61</f>
        <v/>
      </c>
      <c r="P28" s="87">
        <f t="shared" si="5"/>
        <v>0</v>
      </c>
      <c r="Q28" s="87">
        <f t="shared" si="6"/>
        <v>0</v>
      </c>
      <c r="R28" s="87">
        <f t="shared" si="7"/>
        <v>0</v>
      </c>
      <c r="S28" s="87">
        <f t="shared" si="8"/>
        <v>0</v>
      </c>
    </row>
    <row r="29" spans="1:19" x14ac:dyDescent="0.25">
      <c r="A29" s="62">
        <v>24</v>
      </c>
      <c r="B29" s="93" t="s">
        <v>279</v>
      </c>
      <c r="C29" s="89" t="s">
        <v>198</v>
      </c>
      <c r="D29" s="89" t="s">
        <v>208</v>
      </c>
      <c r="E29" s="107" t="s">
        <v>255</v>
      </c>
      <c r="F29" s="62" t="s">
        <v>229</v>
      </c>
      <c r="G29" s="106">
        <v>30.88</v>
      </c>
      <c r="H29" s="87"/>
      <c r="I29" s="87"/>
      <c r="J29" s="89" t="s">
        <v>174</v>
      </c>
      <c r="K29" s="90">
        <v>5</v>
      </c>
      <c r="L29" s="87">
        <f>VLOOKUP(K29,Reinigungstage!$A$10:$B$31,2,FALSE)</f>
        <v>187</v>
      </c>
      <c r="M29" s="87">
        <f t="shared" si="1"/>
        <v>5774.56</v>
      </c>
      <c r="N29" s="91">
        <f>VLOOKUP(J29,'Lei Unter OS Nossen'!$A$6:$B$14,2,0)</f>
        <v>0</v>
      </c>
      <c r="O29" s="92" t="str">
        <f ca="1">'SVS UnterhaltsRG'!$H$61</f>
        <v/>
      </c>
      <c r="P29" s="87">
        <f t="shared" si="5"/>
        <v>0</v>
      </c>
      <c r="Q29" s="87">
        <f t="shared" si="6"/>
        <v>0</v>
      </c>
      <c r="R29" s="87">
        <f t="shared" si="7"/>
        <v>0</v>
      </c>
      <c r="S29" s="87">
        <f t="shared" si="8"/>
        <v>0</v>
      </c>
    </row>
    <row r="30" spans="1:19" x14ac:dyDescent="0.25">
      <c r="A30" s="62">
        <v>25</v>
      </c>
      <c r="B30" s="89" t="s">
        <v>280</v>
      </c>
      <c r="C30" s="89" t="s">
        <v>198</v>
      </c>
      <c r="D30" s="89" t="s">
        <v>208</v>
      </c>
      <c r="E30" s="108" t="s">
        <v>256</v>
      </c>
      <c r="F30" s="62" t="s">
        <v>197</v>
      </c>
      <c r="G30" s="106">
        <v>50.54</v>
      </c>
      <c r="H30" s="87"/>
      <c r="I30" s="87"/>
      <c r="J30" s="89" t="s">
        <v>173</v>
      </c>
      <c r="K30" s="90">
        <v>5</v>
      </c>
      <c r="L30" s="87">
        <f>VLOOKUP(K30,Reinigungstage!$A$10:$B$31,2,FALSE)</f>
        <v>187</v>
      </c>
      <c r="M30" s="87">
        <f t="shared" si="1"/>
        <v>9450.98</v>
      </c>
      <c r="N30" s="91">
        <f>VLOOKUP(J30,'Lei Unter OS Nossen'!$A$6:$B$14,2,0)</f>
        <v>0</v>
      </c>
      <c r="O30" s="92" t="str">
        <f ca="1">'SVS UnterhaltsRG'!$H$61</f>
        <v/>
      </c>
      <c r="P30" s="87">
        <f t="shared" si="5"/>
        <v>0</v>
      </c>
      <c r="Q30" s="87">
        <f t="shared" si="6"/>
        <v>0</v>
      </c>
      <c r="R30" s="87">
        <f t="shared" si="7"/>
        <v>0</v>
      </c>
      <c r="S30" s="87">
        <f t="shared" si="8"/>
        <v>0</v>
      </c>
    </row>
    <row r="31" spans="1:19" x14ac:dyDescent="0.25">
      <c r="A31" s="62">
        <v>26</v>
      </c>
      <c r="B31" s="93">
        <v>1</v>
      </c>
      <c r="C31" s="105" t="s">
        <v>196</v>
      </c>
      <c r="D31" s="89" t="s">
        <v>208</v>
      </c>
      <c r="E31" s="108" t="s">
        <v>281</v>
      </c>
      <c r="F31" s="62" t="s">
        <v>197</v>
      </c>
      <c r="G31" s="106">
        <v>76.39</v>
      </c>
      <c r="H31" s="87"/>
      <c r="I31" s="87"/>
      <c r="J31" s="89" t="s">
        <v>173</v>
      </c>
      <c r="K31" s="90">
        <v>5</v>
      </c>
      <c r="L31" s="87">
        <f>VLOOKUP(K31,Reinigungstage!$A$10:$B$31,2,FALSE)</f>
        <v>187</v>
      </c>
      <c r="M31" s="87">
        <f t="shared" si="1"/>
        <v>14284.93</v>
      </c>
      <c r="N31" s="91">
        <f>VLOOKUP(J31,'Lei Unter OS Nossen'!$A$6:$B$14,2,0)</f>
        <v>0</v>
      </c>
      <c r="O31" s="92" t="str">
        <f ca="1">'SVS UnterhaltsRG'!$H$61</f>
        <v/>
      </c>
      <c r="P31" s="87">
        <f t="shared" si="5"/>
        <v>0</v>
      </c>
      <c r="Q31" s="87">
        <f t="shared" si="6"/>
        <v>0</v>
      </c>
      <c r="R31" s="87">
        <f t="shared" si="7"/>
        <v>0</v>
      </c>
      <c r="S31" s="87">
        <f t="shared" si="8"/>
        <v>0</v>
      </c>
    </row>
    <row r="32" spans="1:19" x14ac:dyDescent="0.25">
      <c r="A32" s="62">
        <v>27</v>
      </c>
      <c r="B32" s="93">
        <v>2</v>
      </c>
      <c r="C32" s="105" t="s">
        <v>196</v>
      </c>
      <c r="D32" s="89" t="s">
        <v>208</v>
      </c>
      <c r="E32" s="108" t="s">
        <v>282</v>
      </c>
      <c r="F32" s="62" t="s">
        <v>197</v>
      </c>
      <c r="G32" s="106">
        <v>33.65</v>
      </c>
      <c r="H32" s="87"/>
      <c r="I32" s="87"/>
      <c r="J32" s="89" t="s">
        <v>168</v>
      </c>
      <c r="K32" s="90">
        <v>2</v>
      </c>
      <c r="L32" s="87">
        <f>VLOOKUP(K32,Reinigungstage!$A$10:$B$31,2,FALSE)</f>
        <v>77.7</v>
      </c>
      <c r="M32" s="87">
        <f t="shared" si="1"/>
        <v>2614.61</v>
      </c>
      <c r="N32" s="91">
        <f>VLOOKUP(J32,'Lei Unter OS Nossen'!$A$6:$B$14,2,0)</f>
        <v>0</v>
      </c>
      <c r="O32" s="92" t="str">
        <f ca="1">'SVS UnterhaltsRG'!$H$61</f>
        <v/>
      </c>
      <c r="P32" s="87">
        <f t="shared" si="5"/>
        <v>0</v>
      </c>
      <c r="Q32" s="87">
        <f t="shared" si="6"/>
        <v>0</v>
      </c>
      <c r="R32" s="87">
        <f t="shared" si="7"/>
        <v>0</v>
      </c>
      <c r="S32" s="87">
        <f t="shared" si="8"/>
        <v>0</v>
      </c>
    </row>
    <row r="33" spans="1:19" x14ac:dyDescent="0.25">
      <c r="A33" s="62">
        <v>28</v>
      </c>
      <c r="B33" s="93">
        <v>3</v>
      </c>
      <c r="C33" s="105" t="s">
        <v>196</v>
      </c>
      <c r="D33" s="89" t="s">
        <v>208</v>
      </c>
      <c r="E33" s="108" t="s">
        <v>238</v>
      </c>
      <c r="F33" s="62" t="s">
        <v>229</v>
      </c>
      <c r="G33" s="109">
        <v>52.28</v>
      </c>
      <c r="H33" s="87"/>
      <c r="I33" s="87"/>
      <c r="J33" s="89" t="s">
        <v>171</v>
      </c>
      <c r="K33" s="90">
        <v>5</v>
      </c>
      <c r="L33" s="87">
        <f>VLOOKUP(K33,Reinigungstage!$A$10:$B$31,2,FALSE)</f>
        <v>187</v>
      </c>
      <c r="M33" s="87">
        <f t="shared" si="1"/>
        <v>9776.36</v>
      </c>
      <c r="N33" s="91">
        <f>VLOOKUP(J33,'Lei Unter OS Nossen'!$A$6:$B$14,2,0)</f>
        <v>0</v>
      </c>
      <c r="O33" s="92" t="str">
        <f ca="1">'SVS UnterhaltsRG'!$H$61</f>
        <v/>
      </c>
      <c r="P33" s="87">
        <f t="shared" si="5"/>
        <v>0</v>
      </c>
      <c r="Q33" s="87">
        <f t="shared" si="6"/>
        <v>0</v>
      </c>
      <c r="R33" s="87">
        <f t="shared" si="7"/>
        <v>0</v>
      </c>
      <c r="S33" s="87">
        <f t="shared" si="8"/>
        <v>0</v>
      </c>
    </row>
    <row r="34" spans="1:19" x14ac:dyDescent="0.25">
      <c r="A34" s="62">
        <v>29</v>
      </c>
      <c r="B34" s="93">
        <v>4</v>
      </c>
      <c r="C34" s="105" t="s">
        <v>196</v>
      </c>
      <c r="D34" s="89" t="s">
        <v>208</v>
      </c>
      <c r="E34" s="108" t="s">
        <v>292</v>
      </c>
      <c r="F34" s="62" t="s">
        <v>229</v>
      </c>
      <c r="G34" s="106">
        <v>12.64</v>
      </c>
      <c r="H34" s="87"/>
      <c r="I34" s="87">
        <v>1</v>
      </c>
      <c r="J34" s="89" t="s">
        <v>174</v>
      </c>
      <c r="K34" s="90">
        <v>5</v>
      </c>
      <c r="L34" s="87">
        <f>VLOOKUP(K34,Reinigungstage!$A$10:$B$31,2,FALSE)</f>
        <v>187</v>
      </c>
      <c r="M34" s="87">
        <f t="shared" si="1"/>
        <v>2363.6799999999998</v>
      </c>
      <c r="N34" s="91">
        <f>VLOOKUP(J34,'Lei Unter OS Nossen'!$A$6:$B$14,2,0)</f>
        <v>0</v>
      </c>
      <c r="O34" s="92" t="str">
        <f ca="1">'SVS UnterhaltsRG'!$H$61</f>
        <v/>
      </c>
      <c r="P34" s="87">
        <f t="shared" si="5"/>
        <v>0</v>
      </c>
      <c r="Q34" s="87">
        <f t="shared" si="6"/>
        <v>0</v>
      </c>
      <c r="R34" s="87">
        <f t="shared" si="7"/>
        <v>0</v>
      </c>
      <c r="S34" s="87">
        <f t="shared" si="8"/>
        <v>0</v>
      </c>
    </row>
    <row r="35" spans="1:19" x14ac:dyDescent="0.25">
      <c r="A35" s="62">
        <v>30</v>
      </c>
      <c r="B35" s="93">
        <v>5</v>
      </c>
      <c r="C35" s="105" t="s">
        <v>196</v>
      </c>
      <c r="D35" s="89" t="s">
        <v>208</v>
      </c>
      <c r="E35" s="108" t="s">
        <v>283</v>
      </c>
      <c r="F35" s="62" t="s">
        <v>229</v>
      </c>
      <c r="G35" s="106">
        <v>51.56</v>
      </c>
      <c r="H35" s="87"/>
      <c r="I35" s="87"/>
      <c r="J35" s="89" t="s">
        <v>174</v>
      </c>
      <c r="K35" s="90">
        <v>5</v>
      </c>
      <c r="L35" s="87">
        <f>VLOOKUP(K35,Reinigungstage!$A$10:$B$31,2,FALSE)</f>
        <v>187</v>
      </c>
      <c r="M35" s="87">
        <f t="shared" si="1"/>
        <v>9641.7199999999993</v>
      </c>
      <c r="N35" s="91">
        <f>VLOOKUP(J35,'Lei Unter OS Nossen'!$A$6:$B$14,2,0)</f>
        <v>0</v>
      </c>
      <c r="O35" s="92" t="str">
        <f ca="1">'SVS UnterhaltsRG'!$H$61</f>
        <v/>
      </c>
      <c r="P35" s="87">
        <f t="shared" si="5"/>
        <v>0</v>
      </c>
      <c r="Q35" s="87">
        <f t="shared" si="6"/>
        <v>0</v>
      </c>
      <c r="R35" s="87">
        <f t="shared" si="7"/>
        <v>0</v>
      </c>
      <c r="S35" s="87">
        <f t="shared" si="8"/>
        <v>0</v>
      </c>
    </row>
    <row r="36" spans="1:19" x14ac:dyDescent="0.25">
      <c r="A36" s="62">
        <v>31</v>
      </c>
      <c r="B36" s="93">
        <v>6</v>
      </c>
      <c r="C36" s="105" t="s">
        <v>196</v>
      </c>
      <c r="D36" s="89" t="s">
        <v>208</v>
      </c>
      <c r="E36" s="108" t="s">
        <v>284</v>
      </c>
      <c r="F36" s="110" t="s">
        <v>197</v>
      </c>
      <c r="G36" s="106">
        <v>16.62</v>
      </c>
      <c r="H36" s="87"/>
      <c r="I36" s="87"/>
      <c r="J36" s="89" t="s">
        <v>168</v>
      </c>
      <c r="K36" s="111">
        <v>2</v>
      </c>
      <c r="L36" s="87">
        <f>VLOOKUP(K36,Reinigungstage!$A$10:$B$31,2,FALSE)</f>
        <v>77.7</v>
      </c>
      <c r="M36" s="87">
        <f t="shared" si="1"/>
        <v>1291.3699999999999</v>
      </c>
      <c r="N36" s="91">
        <f>VLOOKUP(J36,'Lei Unter OS Nossen'!$A$6:$B$14,2,0)</f>
        <v>0</v>
      </c>
      <c r="O36" s="92" t="str">
        <f ca="1">'SVS UnterhaltsRG'!$H$61</f>
        <v/>
      </c>
      <c r="P36" s="87">
        <f t="shared" si="5"/>
        <v>0</v>
      </c>
      <c r="Q36" s="87">
        <f t="shared" si="6"/>
        <v>0</v>
      </c>
      <c r="R36" s="87">
        <f t="shared" si="7"/>
        <v>0</v>
      </c>
      <c r="S36" s="87">
        <f t="shared" si="8"/>
        <v>0</v>
      </c>
    </row>
    <row r="37" spans="1:19" x14ac:dyDescent="0.25">
      <c r="A37" s="62">
        <v>32</v>
      </c>
      <c r="B37" s="93">
        <v>7</v>
      </c>
      <c r="C37" s="105" t="s">
        <v>196</v>
      </c>
      <c r="D37" s="89" t="s">
        <v>208</v>
      </c>
      <c r="E37" s="108" t="s">
        <v>285</v>
      </c>
      <c r="F37" s="110" t="s">
        <v>200</v>
      </c>
      <c r="G37" s="106">
        <v>11.9</v>
      </c>
      <c r="H37" s="87"/>
      <c r="I37" s="87"/>
      <c r="J37" s="89" t="s">
        <v>169</v>
      </c>
      <c r="K37" s="111">
        <v>5</v>
      </c>
      <c r="L37" s="87">
        <f>VLOOKUP(K37,Reinigungstage!$A$10:$B$31,2,FALSE)</f>
        <v>187</v>
      </c>
      <c r="M37" s="87">
        <f t="shared" si="1"/>
        <v>2225.3000000000002</v>
      </c>
      <c r="N37" s="91">
        <f>VLOOKUP(J37,'Lei Unter OS Nossen'!$A$6:$B$14,2,0)</f>
        <v>0</v>
      </c>
      <c r="O37" s="92" t="str">
        <f ca="1">'SVS UnterhaltsRG'!$H$61</f>
        <v/>
      </c>
      <c r="P37" s="87">
        <f t="shared" si="5"/>
        <v>0</v>
      </c>
      <c r="Q37" s="87">
        <f t="shared" si="6"/>
        <v>0</v>
      </c>
      <c r="R37" s="87">
        <f t="shared" si="7"/>
        <v>0</v>
      </c>
      <c r="S37" s="87">
        <f t="shared" si="8"/>
        <v>0</v>
      </c>
    </row>
    <row r="38" spans="1:19" x14ac:dyDescent="0.25">
      <c r="A38" s="62">
        <v>33</v>
      </c>
      <c r="B38" s="93">
        <v>8</v>
      </c>
      <c r="C38" s="105" t="s">
        <v>196</v>
      </c>
      <c r="D38" s="89" t="s">
        <v>208</v>
      </c>
      <c r="E38" s="108" t="s">
        <v>286</v>
      </c>
      <c r="F38" s="110" t="s">
        <v>200</v>
      </c>
      <c r="G38" s="106">
        <v>16.02</v>
      </c>
      <c r="H38" s="87"/>
      <c r="I38" s="87"/>
      <c r="J38" s="89" t="s">
        <v>169</v>
      </c>
      <c r="K38" s="111">
        <v>5</v>
      </c>
      <c r="L38" s="87">
        <f>VLOOKUP(K38,Reinigungstage!$A$10:$B$31,2,FALSE)</f>
        <v>187</v>
      </c>
      <c r="M38" s="87">
        <f t="shared" si="1"/>
        <v>2995.74</v>
      </c>
      <c r="N38" s="91">
        <f>VLOOKUP(J38,'Lei Unter OS Nossen'!$A$6:$B$14,2,0)</f>
        <v>0</v>
      </c>
      <c r="O38" s="92" t="str">
        <f ca="1">'SVS UnterhaltsRG'!$H$61</f>
        <v/>
      </c>
      <c r="P38" s="87">
        <f t="shared" si="5"/>
        <v>0</v>
      </c>
      <c r="Q38" s="87">
        <f t="shared" si="6"/>
        <v>0</v>
      </c>
      <c r="R38" s="87">
        <f t="shared" si="7"/>
        <v>0</v>
      </c>
      <c r="S38" s="87">
        <f t="shared" si="8"/>
        <v>0</v>
      </c>
    </row>
    <row r="39" spans="1:19" x14ac:dyDescent="0.25">
      <c r="A39" s="62">
        <v>34</v>
      </c>
      <c r="B39" s="93">
        <v>9</v>
      </c>
      <c r="C39" s="105" t="s">
        <v>196</v>
      </c>
      <c r="D39" s="89" t="s">
        <v>208</v>
      </c>
      <c r="E39" s="108" t="s">
        <v>287</v>
      </c>
      <c r="F39" s="110" t="s">
        <v>229</v>
      </c>
      <c r="G39" s="106">
        <v>84.1</v>
      </c>
      <c r="H39" s="87"/>
      <c r="I39" s="87"/>
      <c r="J39" s="89" t="s">
        <v>171</v>
      </c>
      <c r="K39" s="111">
        <v>5</v>
      </c>
      <c r="L39" s="87">
        <f>VLOOKUP(K39,Reinigungstage!$A$10:$B$31,2,FALSE)</f>
        <v>187</v>
      </c>
      <c r="M39" s="87">
        <f t="shared" si="1"/>
        <v>15726.7</v>
      </c>
      <c r="N39" s="91">
        <f>VLOOKUP(J39,'Lei Unter OS Nossen'!$A$6:$B$14,2,0)</f>
        <v>0</v>
      </c>
      <c r="O39" s="92" t="str">
        <f ca="1">'SVS UnterhaltsRG'!$H$61</f>
        <v/>
      </c>
      <c r="P39" s="87">
        <f t="shared" si="5"/>
        <v>0</v>
      </c>
      <c r="Q39" s="87">
        <f t="shared" si="6"/>
        <v>0</v>
      </c>
      <c r="R39" s="87">
        <f t="shared" si="7"/>
        <v>0</v>
      </c>
      <c r="S39" s="87">
        <f t="shared" si="8"/>
        <v>0</v>
      </c>
    </row>
    <row r="40" spans="1:19" x14ac:dyDescent="0.25">
      <c r="A40" s="62">
        <v>35</v>
      </c>
      <c r="B40" s="93">
        <v>10</v>
      </c>
      <c r="C40" s="105" t="s">
        <v>196</v>
      </c>
      <c r="D40" s="89" t="s">
        <v>208</v>
      </c>
      <c r="E40" s="108" t="s">
        <v>204</v>
      </c>
      <c r="F40" s="110" t="s">
        <v>200</v>
      </c>
      <c r="G40" s="106">
        <v>35.159999999999997</v>
      </c>
      <c r="H40" s="87"/>
      <c r="I40" s="87"/>
      <c r="J40" s="89" t="s">
        <v>169</v>
      </c>
      <c r="K40" s="111">
        <v>5</v>
      </c>
      <c r="L40" s="87">
        <f>VLOOKUP(K40,Reinigungstage!$A$10:$B$31,2,FALSE)</f>
        <v>187</v>
      </c>
      <c r="M40" s="87">
        <f t="shared" si="1"/>
        <v>6574.92</v>
      </c>
      <c r="N40" s="91">
        <f>VLOOKUP(J40,'Lei Unter OS Nossen'!$A$6:$B$14,2,0)</f>
        <v>0</v>
      </c>
      <c r="O40" s="92" t="str">
        <f ca="1">'SVS UnterhaltsRG'!$H$61</f>
        <v/>
      </c>
      <c r="P40" s="87">
        <f t="shared" si="5"/>
        <v>0</v>
      </c>
      <c r="Q40" s="87">
        <f t="shared" si="6"/>
        <v>0</v>
      </c>
      <c r="R40" s="87">
        <f t="shared" si="7"/>
        <v>0</v>
      </c>
      <c r="S40" s="87">
        <f t="shared" si="8"/>
        <v>0</v>
      </c>
    </row>
    <row r="41" spans="1:19" x14ac:dyDescent="0.25">
      <c r="A41" s="62">
        <v>36</v>
      </c>
      <c r="B41" s="93">
        <v>11</v>
      </c>
      <c r="C41" s="105" t="s">
        <v>196</v>
      </c>
      <c r="D41" s="89" t="s">
        <v>208</v>
      </c>
      <c r="E41" s="108" t="s">
        <v>203</v>
      </c>
      <c r="F41" s="110" t="s">
        <v>200</v>
      </c>
      <c r="G41" s="106">
        <v>32.83</v>
      </c>
      <c r="H41" s="87"/>
      <c r="I41" s="87"/>
      <c r="J41" s="89" t="s">
        <v>169</v>
      </c>
      <c r="K41" s="111">
        <v>5</v>
      </c>
      <c r="L41" s="87">
        <f>VLOOKUP(K41,Reinigungstage!$A$10:$B$31,2,FALSE)</f>
        <v>187</v>
      </c>
      <c r="M41" s="87">
        <f t="shared" si="1"/>
        <v>6139.21</v>
      </c>
      <c r="N41" s="91">
        <f>VLOOKUP(J41,'Lei Unter OS Nossen'!$A$6:$B$14,2,0)</f>
        <v>0</v>
      </c>
      <c r="O41" s="92" t="str">
        <f ca="1">'SVS UnterhaltsRG'!$H$61</f>
        <v/>
      </c>
      <c r="P41" s="87">
        <f t="shared" si="5"/>
        <v>0</v>
      </c>
      <c r="Q41" s="87">
        <f t="shared" si="6"/>
        <v>0</v>
      </c>
      <c r="R41" s="87">
        <f t="shared" si="7"/>
        <v>0</v>
      </c>
      <c r="S41" s="87">
        <f t="shared" si="8"/>
        <v>0</v>
      </c>
    </row>
    <row r="42" spans="1:19" x14ac:dyDescent="0.25">
      <c r="A42" s="62">
        <v>37</v>
      </c>
      <c r="B42" s="93">
        <v>12</v>
      </c>
      <c r="C42" s="105" t="s">
        <v>196</v>
      </c>
      <c r="D42" s="89" t="s">
        <v>208</v>
      </c>
      <c r="E42" s="108" t="s">
        <v>288</v>
      </c>
      <c r="F42" s="110" t="s">
        <v>229</v>
      </c>
      <c r="G42" s="106">
        <v>51.51</v>
      </c>
      <c r="H42" s="87"/>
      <c r="I42" s="87"/>
      <c r="J42" s="89" t="s">
        <v>171</v>
      </c>
      <c r="K42" s="111">
        <v>5</v>
      </c>
      <c r="L42" s="87">
        <f>VLOOKUP(K42,Reinigungstage!$A$10:$B$31,2,FALSE)</f>
        <v>187</v>
      </c>
      <c r="M42" s="87">
        <f t="shared" si="1"/>
        <v>9632.3700000000008</v>
      </c>
      <c r="N42" s="91">
        <f>VLOOKUP(J42,'Lei Unter OS Nossen'!$A$6:$B$14,2,0)</f>
        <v>0</v>
      </c>
      <c r="O42" s="92" t="str">
        <f ca="1">'SVS UnterhaltsRG'!$H$61</f>
        <v/>
      </c>
      <c r="P42" s="87">
        <f t="shared" si="5"/>
        <v>0</v>
      </c>
      <c r="Q42" s="87">
        <f t="shared" si="6"/>
        <v>0</v>
      </c>
      <c r="R42" s="87">
        <f t="shared" si="7"/>
        <v>0</v>
      </c>
      <c r="S42" s="87">
        <f t="shared" si="8"/>
        <v>0</v>
      </c>
    </row>
    <row r="43" spans="1:19" x14ac:dyDescent="0.25">
      <c r="A43" s="62">
        <v>38</v>
      </c>
      <c r="B43" s="93">
        <v>13</v>
      </c>
      <c r="C43" s="105" t="s">
        <v>196</v>
      </c>
      <c r="D43" s="89" t="s">
        <v>208</v>
      </c>
      <c r="E43" s="108" t="s">
        <v>289</v>
      </c>
      <c r="F43" s="110" t="s">
        <v>197</v>
      </c>
      <c r="G43" s="106">
        <v>16.399999999999999</v>
      </c>
      <c r="H43" s="87"/>
      <c r="I43" s="87"/>
      <c r="J43" s="89" t="s">
        <v>168</v>
      </c>
      <c r="K43" s="111">
        <v>2</v>
      </c>
      <c r="L43" s="87">
        <f>VLOOKUP(K43,Reinigungstage!$A$10:$B$31,2,FALSE)</f>
        <v>77.7</v>
      </c>
      <c r="M43" s="87">
        <f t="shared" si="1"/>
        <v>1274.28</v>
      </c>
      <c r="N43" s="91">
        <f>VLOOKUP(J43,'Lei Unter OS Nossen'!$A$6:$B$14,2,0)</f>
        <v>0</v>
      </c>
      <c r="O43" s="92" t="str">
        <f ca="1">'SVS UnterhaltsRG'!$H$61</f>
        <v/>
      </c>
      <c r="P43" s="87">
        <f t="shared" si="5"/>
        <v>0</v>
      </c>
      <c r="Q43" s="87">
        <f t="shared" si="6"/>
        <v>0</v>
      </c>
      <c r="R43" s="87">
        <f t="shared" si="7"/>
        <v>0</v>
      </c>
      <c r="S43" s="87">
        <f t="shared" si="8"/>
        <v>0</v>
      </c>
    </row>
    <row r="44" spans="1:19" x14ac:dyDescent="0.25">
      <c r="A44" s="62">
        <v>39</v>
      </c>
      <c r="B44" s="93">
        <v>14</v>
      </c>
      <c r="C44" s="105" t="s">
        <v>196</v>
      </c>
      <c r="D44" s="89" t="s">
        <v>208</v>
      </c>
      <c r="E44" s="108" t="s">
        <v>290</v>
      </c>
      <c r="F44" s="110" t="s">
        <v>197</v>
      </c>
      <c r="G44" s="106">
        <v>50.54</v>
      </c>
      <c r="H44" s="87"/>
      <c r="I44" s="87"/>
      <c r="J44" s="89" t="s">
        <v>173</v>
      </c>
      <c r="K44" s="111">
        <v>5</v>
      </c>
      <c r="L44" s="87">
        <f>VLOOKUP(K44,Reinigungstage!$A$10:$B$31,2,FALSE)</f>
        <v>187</v>
      </c>
      <c r="M44" s="87">
        <f t="shared" si="1"/>
        <v>9450.98</v>
      </c>
      <c r="N44" s="91">
        <f>VLOOKUP(J44,'Lei Unter OS Nossen'!$A$6:$B$14,2,0)</f>
        <v>0</v>
      </c>
      <c r="O44" s="92" t="str">
        <f ca="1">'SVS UnterhaltsRG'!$H$61</f>
        <v/>
      </c>
      <c r="P44" s="87">
        <f t="shared" si="5"/>
        <v>0</v>
      </c>
      <c r="Q44" s="87">
        <f t="shared" si="6"/>
        <v>0</v>
      </c>
      <c r="R44" s="87">
        <f t="shared" si="7"/>
        <v>0</v>
      </c>
      <c r="S44" s="87">
        <f t="shared" si="8"/>
        <v>0</v>
      </c>
    </row>
    <row r="45" spans="1:19" x14ac:dyDescent="0.25">
      <c r="A45" s="62">
        <v>40</v>
      </c>
      <c r="B45" s="93">
        <v>15</v>
      </c>
      <c r="C45" s="105" t="s">
        <v>196</v>
      </c>
      <c r="D45" s="89" t="s">
        <v>208</v>
      </c>
      <c r="E45" s="108" t="s">
        <v>291</v>
      </c>
      <c r="F45" s="110" t="s">
        <v>197</v>
      </c>
      <c r="G45" s="106">
        <v>50.54</v>
      </c>
      <c r="H45" s="87"/>
      <c r="I45" s="87"/>
      <c r="J45" s="89" t="s">
        <v>173</v>
      </c>
      <c r="K45" s="111">
        <v>5</v>
      </c>
      <c r="L45" s="87">
        <f>VLOOKUP(K45,Reinigungstage!$A$10:$B$31,2,FALSE)</f>
        <v>187</v>
      </c>
      <c r="M45" s="87">
        <f t="shared" si="1"/>
        <v>9450.98</v>
      </c>
      <c r="N45" s="91">
        <f>VLOOKUP(J45,'Lei Unter OS Nossen'!$A$6:$B$14,2,0)</f>
        <v>0</v>
      </c>
      <c r="O45" s="92" t="str">
        <f ca="1">'SVS UnterhaltsRG'!$H$61</f>
        <v/>
      </c>
      <c r="P45" s="87">
        <f t="shared" si="5"/>
        <v>0</v>
      </c>
      <c r="Q45" s="87">
        <f t="shared" si="6"/>
        <v>0</v>
      </c>
      <c r="R45" s="87">
        <f t="shared" si="7"/>
        <v>0</v>
      </c>
      <c r="S45" s="87">
        <f t="shared" si="8"/>
        <v>0</v>
      </c>
    </row>
    <row r="46" spans="1:19" x14ac:dyDescent="0.25">
      <c r="A46" s="62">
        <v>41</v>
      </c>
      <c r="B46" s="93">
        <v>16</v>
      </c>
      <c r="C46" s="105" t="s">
        <v>196</v>
      </c>
      <c r="D46" s="89" t="s">
        <v>208</v>
      </c>
      <c r="E46" s="108" t="s">
        <v>292</v>
      </c>
      <c r="F46" s="110" t="s">
        <v>229</v>
      </c>
      <c r="G46" s="109">
        <v>37.31</v>
      </c>
      <c r="H46" s="87"/>
      <c r="I46" s="87">
        <v>1</v>
      </c>
      <c r="J46" s="89" t="s">
        <v>174</v>
      </c>
      <c r="K46" s="111">
        <v>5</v>
      </c>
      <c r="L46" s="87">
        <f>VLOOKUP(K46,Reinigungstage!$A$10:$B$31,2,FALSE)</f>
        <v>187</v>
      </c>
      <c r="M46" s="87">
        <f t="shared" si="1"/>
        <v>6976.97</v>
      </c>
      <c r="N46" s="91">
        <f>VLOOKUP(J46,'Lei Unter OS Nossen'!$A$6:$B$14,2,0)</f>
        <v>0</v>
      </c>
      <c r="O46" s="92" t="str">
        <f ca="1">'SVS UnterhaltsRG'!$H$61</f>
        <v/>
      </c>
      <c r="P46" s="87">
        <f t="shared" si="5"/>
        <v>0</v>
      </c>
      <c r="Q46" s="87">
        <f t="shared" si="6"/>
        <v>0</v>
      </c>
      <c r="R46" s="87">
        <f t="shared" si="7"/>
        <v>0</v>
      </c>
      <c r="S46" s="87">
        <f t="shared" si="8"/>
        <v>0</v>
      </c>
    </row>
    <row r="47" spans="1:19" x14ac:dyDescent="0.25">
      <c r="A47" s="62">
        <v>42</v>
      </c>
      <c r="B47" s="93">
        <v>17</v>
      </c>
      <c r="C47" s="105" t="s">
        <v>196</v>
      </c>
      <c r="D47" s="89" t="s">
        <v>208</v>
      </c>
      <c r="E47" s="108" t="s">
        <v>291</v>
      </c>
      <c r="F47" s="110" t="s">
        <v>197</v>
      </c>
      <c r="G47" s="106">
        <v>50.54</v>
      </c>
      <c r="H47" s="87"/>
      <c r="I47" s="87"/>
      <c r="J47" s="89" t="s">
        <v>173</v>
      </c>
      <c r="K47" s="111">
        <v>5</v>
      </c>
      <c r="L47" s="87">
        <f>VLOOKUP(K47,Reinigungstage!$A$10:$B$31,2,FALSE)</f>
        <v>187</v>
      </c>
      <c r="M47" s="87">
        <f t="shared" si="1"/>
        <v>9450.98</v>
      </c>
      <c r="N47" s="91">
        <f>VLOOKUP(J47,'Lei Unter OS Nossen'!$A$6:$B$14,2,0)</f>
        <v>0</v>
      </c>
      <c r="O47" s="92" t="str">
        <f ca="1">'SVS UnterhaltsRG'!$H$61</f>
        <v/>
      </c>
      <c r="P47" s="87">
        <f t="shared" si="5"/>
        <v>0</v>
      </c>
      <c r="Q47" s="87">
        <f t="shared" si="6"/>
        <v>0</v>
      </c>
      <c r="R47" s="87">
        <f t="shared" si="7"/>
        <v>0</v>
      </c>
      <c r="S47" s="87">
        <f t="shared" si="8"/>
        <v>0</v>
      </c>
    </row>
    <row r="48" spans="1:19" x14ac:dyDescent="0.25">
      <c r="A48" s="62">
        <v>43</v>
      </c>
      <c r="B48" s="93">
        <v>18</v>
      </c>
      <c r="C48" s="105" t="s">
        <v>196</v>
      </c>
      <c r="D48" s="89" t="s">
        <v>208</v>
      </c>
      <c r="E48" s="108" t="s">
        <v>291</v>
      </c>
      <c r="F48" s="110" t="s">
        <v>197</v>
      </c>
      <c r="G48" s="109">
        <v>50.54</v>
      </c>
      <c r="H48" s="87"/>
      <c r="I48" s="87"/>
      <c r="J48" s="89" t="s">
        <v>173</v>
      </c>
      <c r="K48" s="111">
        <v>5</v>
      </c>
      <c r="L48" s="87">
        <f>VLOOKUP(K48,Reinigungstage!$A$10:$B$31,2,FALSE)</f>
        <v>187</v>
      </c>
      <c r="M48" s="87">
        <f t="shared" si="1"/>
        <v>9450.98</v>
      </c>
      <c r="N48" s="91">
        <f>VLOOKUP(J48,'Lei Unter OS Nossen'!$A$6:$B$14,2,0)</f>
        <v>0</v>
      </c>
      <c r="O48" s="92" t="str">
        <f ca="1">'SVS UnterhaltsRG'!$H$61</f>
        <v/>
      </c>
      <c r="P48" s="87">
        <f t="shared" si="5"/>
        <v>0</v>
      </c>
      <c r="Q48" s="87">
        <f t="shared" si="6"/>
        <v>0</v>
      </c>
      <c r="R48" s="87">
        <f t="shared" si="7"/>
        <v>0</v>
      </c>
      <c r="S48" s="87">
        <f t="shared" si="8"/>
        <v>0</v>
      </c>
    </row>
    <row r="49" spans="1:19" x14ac:dyDescent="0.25">
      <c r="A49" s="62">
        <v>44</v>
      </c>
      <c r="B49" s="93">
        <v>19</v>
      </c>
      <c r="C49" s="105" t="s">
        <v>196</v>
      </c>
      <c r="D49" s="89" t="s">
        <v>208</v>
      </c>
      <c r="E49" s="108" t="s">
        <v>292</v>
      </c>
      <c r="F49" s="110" t="s">
        <v>229</v>
      </c>
      <c r="G49" s="109">
        <v>36.630000000000003</v>
      </c>
      <c r="H49" s="87"/>
      <c r="I49" s="87">
        <v>1</v>
      </c>
      <c r="J49" s="89" t="s">
        <v>174</v>
      </c>
      <c r="K49" s="111">
        <v>5</v>
      </c>
      <c r="L49" s="87">
        <f>VLOOKUP(K49,Reinigungstage!$A$10:$B$31,2,FALSE)</f>
        <v>187</v>
      </c>
      <c r="M49" s="87">
        <f t="shared" si="1"/>
        <v>6849.81</v>
      </c>
      <c r="N49" s="91">
        <f>VLOOKUP(J49,'Lei Unter OS Nossen'!$A$6:$B$14,2,0)</f>
        <v>0</v>
      </c>
      <c r="O49" s="92" t="str">
        <f ca="1">'SVS UnterhaltsRG'!$H$61</f>
        <v/>
      </c>
      <c r="P49" s="87">
        <f t="shared" si="5"/>
        <v>0</v>
      </c>
      <c r="Q49" s="87">
        <f t="shared" si="6"/>
        <v>0</v>
      </c>
      <c r="R49" s="87">
        <f t="shared" si="7"/>
        <v>0</v>
      </c>
      <c r="S49" s="87">
        <f t="shared" si="8"/>
        <v>0</v>
      </c>
    </row>
    <row r="50" spans="1:19" x14ac:dyDescent="0.25">
      <c r="A50" s="62">
        <v>45</v>
      </c>
      <c r="B50" s="93">
        <v>20</v>
      </c>
      <c r="C50" s="105" t="s">
        <v>196</v>
      </c>
      <c r="D50" s="89" t="s">
        <v>208</v>
      </c>
      <c r="E50" s="108" t="s">
        <v>291</v>
      </c>
      <c r="F50" s="110" t="s">
        <v>197</v>
      </c>
      <c r="G50" s="109">
        <v>50.54</v>
      </c>
      <c r="H50" s="87"/>
      <c r="I50" s="87"/>
      <c r="J50" s="89" t="s">
        <v>173</v>
      </c>
      <c r="K50" s="111">
        <v>5</v>
      </c>
      <c r="L50" s="87">
        <f>VLOOKUP(K50,Reinigungstage!$A$10:$B$31,2,FALSE)</f>
        <v>187</v>
      </c>
      <c r="M50" s="87">
        <f t="shared" si="1"/>
        <v>9450.98</v>
      </c>
      <c r="N50" s="91">
        <f>VLOOKUP(J50,'Lei Unter OS Nossen'!$A$6:$B$14,2,0)</f>
        <v>0</v>
      </c>
      <c r="O50" s="92" t="str">
        <f ca="1">'SVS UnterhaltsRG'!$H$61</f>
        <v/>
      </c>
      <c r="P50" s="87">
        <f t="shared" si="5"/>
        <v>0</v>
      </c>
      <c r="Q50" s="87">
        <f t="shared" si="6"/>
        <v>0</v>
      </c>
      <c r="R50" s="87">
        <f t="shared" si="7"/>
        <v>0</v>
      </c>
      <c r="S50" s="87">
        <f t="shared" si="8"/>
        <v>0</v>
      </c>
    </row>
    <row r="51" spans="1:19" x14ac:dyDescent="0.25">
      <c r="A51" s="62">
        <v>46</v>
      </c>
      <c r="B51" s="93">
        <v>21</v>
      </c>
      <c r="C51" s="105" t="s">
        <v>196</v>
      </c>
      <c r="D51" s="89" t="s">
        <v>208</v>
      </c>
      <c r="E51" s="108" t="s">
        <v>291</v>
      </c>
      <c r="F51" s="110" t="s">
        <v>197</v>
      </c>
      <c r="G51" s="106">
        <v>50.54</v>
      </c>
      <c r="H51" s="87"/>
      <c r="I51" s="87"/>
      <c r="J51" s="89" t="s">
        <v>173</v>
      </c>
      <c r="K51" s="111">
        <v>5</v>
      </c>
      <c r="L51" s="87">
        <f>VLOOKUP(K51,Reinigungstage!$A$10:$B$31,2,FALSE)</f>
        <v>187</v>
      </c>
      <c r="M51" s="87">
        <f t="shared" si="1"/>
        <v>9450.98</v>
      </c>
      <c r="N51" s="91">
        <f>VLOOKUP(J51,'Lei Unter OS Nossen'!$A$6:$B$14,2,0)</f>
        <v>0</v>
      </c>
      <c r="O51" s="92" t="str">
        <f ca="1">'SVS UnterhaltsRG'!$H$61</f>
        <v/>
      </c>
      <c r="P51" s="87">
        <f t="shared" si="5"/>
        <v>0</v>
      </c>
      <c r="Q51" s="87">
        <f t="shared" si="6"/>
        <v>0</v>
      </c>
      <c r="R51" s="87">
        <f t="shared" si="7"/>
        <v>0</v>
      </c>
      <c r="S51" s="87">
        <f t="shared" si="8"/>
        <v>0</v>
      </c>
    </row>
    <row r="52" spans="1:19" x14ac:dyDescent="0.25">
      <c r="A52" s="62">
        <v>47</v>
      </c>
      <c r="B52" s="93">
        <v>22</v>
      </c>
      <c r="C52" s="105" t="s">
        <v>196</v>
      </c>
      <c r="D52" s="89" t="s">
        <v>208</v>
      </c>
      <c r="E52" s="108" t="s">
        <v>292</v>
      </c>
      <c r="F52" s="110" t="s">
        <v>229</v>
      </c>
      <c r="G52" s="109">
        <v>36.94</v>
      </c>
      <c r="H52" s="87"/>
      <c r="I52" s="87">
        <v>1</v>
      </c>
      <c r="J52" s="89" t="s">
        <v>174</v>
      </c>
      <c r="K52" s="111">
        <v>5</v>
      </c>
      <c r="L52" s="87">
        <f>VLOOKUP(K52,Reinigungstage!$A$10:$B$31,2,FALSE)</f>
        <v>187</v>
      </c>
      <c r="M52" s="87">
        <f t="shared" si="1"/>
        <v>6907.78</v>
      </c>
      <c r="N52" s="91">
        <f>VLOOKUP(J52,'Lei Unter OS Nossen'!$A$6:$B$14,2,0)</f>
        <v>0</v>
      </c>
      <c r="O52" s="92" t="str">
        <f ca="1">'SVS UnterhaltsRG'!$H$61</f>
        <v/>
      </c>
      <c r="P52" s="87">
        <f t="shared" si="5"/>
        <v>0</v>
      </c>
      <c r="Q52" s="87">
        <f t="shared" si="6"/>
        <v>0</v>
      </c>
      <c r="R52" s="87">
        <f t="shared" si="7"/>
        <v>0</v>
      </c>
      <c r="S52" s="87">
        <f t="shared" si="8"/>
        <v>0</v>
      </c>
    </row>
    <row r="53" spans="1:19" x14ac:dyDescent="0.25">
      <c r="A53" s="62">
        <v>48</v>
      </c>
      <c r="B53" s="93">
        <v>23</v>
      </c>
      <c r="C53" s="105" t="s">
        <v>196</v>
      </c>
      <c r="D53" s="89" t="s">
        <v>208</v>
      </c>
      <c r="E53" s="108" t="s">
        <v>291</v>
      </c>
      <c r="F53" s="110" t="s">
        <v>197</v>
      </c>
      <c r="G53" s="109">
        <v>50.54</v>
      </c>
      <c r="H53" s="87"/>
      <c r="I53" s="87"/>
      <c r="J53" s="89" t="s">
        <v>173</v>
      </c>
      <c r="K53" s="111">
        <v>5</v>
      </c>
      <c r="L53" s="87">
        <f>VLOOKUP(K53,Reinigungstage!$A$10:$B$31,2,FALSE)</f>
        <v>187</v>
      </c>
      <c r="M53" s="87">
        <f t="shared" si="1"/>
        <v>9450.98</v>
      </c>
      <c r="N53" s="91">
        <f>VLOOKUP(J53,'Lei Unter OS Nossen'!$A$6:$B$14,2,0)</f>
        <v>0</v>
      </c>
      <c r="O53" s="92" t="str">
        <f ca="1">'SVS UnterhaltsRG'!$H$61</f>
        <v/>
      </c>
      <c r="P53" s="87">
        <f t="shared" si="5"/>
        <v>0</v>
      </c>
      <c r="Q53" s="87">
        <f t="shared" si="6"/>
        <v>0</v>
      </c>
      <c r="R53" s="87">
        <f t="shared" si="7"/>
        <v>0</v>
      </c>
      <c r="S53" s="87">
        <f t="shared" si="8"/>
        <v>0</v>
      </c>
    </row>
    <row r="54" spans="1:19" x14ac:dyDescent="0.25">
      <c r="A54" s="62">
        <v>49</v>
      </c>
      <c r="B54" s="89">
        <v>101</v>
      </c>
      <c r="C54" s="105" t="s">
        <v>201</v>
      </c>
      <c r="D54" s="89" t="s">
        <v>208</v>
      </c>
      <c r="E54" s="108" t="s">
        <v>293</v>
      </c>
      <c r="F54" s="110" t="s">
        <v>197</v>
      </c>
      <c r="G54" s="109">
        <v>76.349999999999994</v>
      </c>
      <c r="H54" s="87"/>
      <c r="I54" s="87"/>
      <c r="J54" s="89" t="s">
        <v>173</v>
      </c>
      <c r="K54" s="111">
        <v>5</v>
      </c>
      <c r="L54" s="87">
        <f>VLOOKUP(K54,Reinigungstage!$A$10:$B$31,2,FALSE)</f>
        <v>187</v>
      </c>
      <c r="M54" s="87">
        <f t="shared" si="1"/>
        <v>14277.45</v>
      </c>
      <c r="N54" s="91">
        <f>VLOOKUP(J54,'Lei Unter OS Nossen'!$A$6:$B$14,2,0)</f>
        <v>0</v>
      </c>
      <c r="O54" s="92" t="str">
        <f ca="1">'SVS UnterhaltsRG'!$H$61</f>
        <v/>
      </c>
      <c r="P54" s="87">
        <f t="shared" si="5"/>
        <v>0</v>
      </c>
      <c r="Q54" s="87">
        <f t="shared" si="6"/>
        <v>0</v>
      </c>
      <c r="R54" s="87">
        <f t="shared" si="7"/>
        <v>0</v>
      </c>
      <c r="S54" s="87">
        <f t="shared" si="8"/>
        <v>0</v>
      </c>
    </row>
    <row r="55" spans="1:19" x14ac:dyDescent="0.25">
      <c r="A55" s="62">
        <v>50</v>
      </c>
      <c r="B55" s="89">
        <v>102</v>
      </c>
      <c r="C55" s="105" t="s">
        <v>201</v>
      </c>
      <c r="D55" s="89" t="s">
        <v>208</v>
      </c>
      <c r="E55" s="108" t="s">
        <v>294</v>
      </c>
      <c r="F55" s="110" t="s">
        <v>197</v>
      </c>
      <c r="G55" s="109">
        <v>33.65</v>
      </c>
      <c r="H55" s="87"/>
      <c r="I55" s="87"/>
      <c r="J55" s="89" t="s">
        <v>168</v>
      </c>
      <c r="K55" s="111">
        <v>2</v>
      </c>
      <c r="L55" s="87">
        <f>VLOOKUP(K55,Reinigungstage!$A$10:$B$31,2,FALSE)</f>
        <v>77.7</v>
      </c>
      <c r="M55" s="87">
        <f t="shared" si="1"/>
        <v>2614.61</v>
      </c>
      <c r="N55" s="91">
        <f>VLOOKUP(J55,'Lei Unter OS Nossen'!$A$6:$B$14,2,0)</f>
        <v>0</v>
      </c>
      <c r="O55" s="92" t="str">
        <f ca="1">'SVS UnterhaltsRG'!$H$61</f>
        <v/>
      </c>
      <c r="P55" s="87">
        <f t="shared" si="5"/>
        <v>0</v>
      </c>
      <c r="Q55" s="87">
        <f t="shared" si="6"/>
        <v>0</v>
      </c>
      <c r="R55" s="87">
        <f t="shared" si="7"/>
        <v>0</v>
      </c>
      <c r="S55" s="87">
        <f t="shared" si="8"/>
        <v>0</v>
      </c>
    </row>
    <row r="56" spans="1:19" x14ac:dyDescent="0.25">
      <c r="A56" s="62">
        <v>51</v>
      </c>
      <c r="B56" s="89">
        <v>103</v>
      </c>
      <c r="C56" s="105" t="s">
        <v>201</v>
      </c>
      <c r="D56" s="89" t="s">
        <v>208</v>
      </c>
      <c r="E56" s="108" t="s">
        <v>238</v>
      </c>
      <c r="F56" s="110" t="s">
        <v>197</v>
      </c>
      <c r="G56" s="109">
        <v>44.23</v>
      </c>
      <c r="H56" s="87"/>
      <c r="I56" s="87"/>
      <c r="J56" s="89" t="s">
        <v>171</v>
      </c>
      <c r="K56" s="111">
        <v>5</v>
      </c>
      <c r="L56" s="87">
        <f>VLOOKUP(K56,Reinigungstage!$A$10:$B$31,2,FALSE)</f>
        <v>187</v>
      </c>
      <c r="M56" s="87">
        <f t="shared" si="1"/>
        <v>8271.01</v>
      </c>
      <c r="N56" s="91">
        <f>VLOOKUP(J56,'Lei Unter OS Nossen'!$A$6:$B$14,2,0)</f>
        <v>0</v>
      </c>
      <c r="O56" s="92" t="str">
        <f ca="1">'SVS UnterhaltsRG'!$H$61</f>
        <v/>
      </c>
      <c r="P56" s="87">
        <f t="shared" si="5"/>
        <v>0</v>
      </c>
      <c r="Q56" s="87">
        <f t="shared" si="6"/>
        <v>0</v>
      </c>
      <c r="R56" s="87">
        <f t="shared" si="7"/>
        <v>0</v>
      </c>
      <c r="S56" s="87">
        <f t="shared" si="8"/>
        <v>0</v>
      </c>
    </row>
    <row r="57" spans="1:19" x14ac:dyDescent="0.25">
      <c r="A57" s="62">
        <v>52</v>
      </c>
      <c r="B57" s="89">
        <v>104</v>
      </c>
      <c r="C57" s="105" t="s">
        <v>201</v>
      </c>
      <c r="D57" s="89" t="s">
        <v>208</v>
      </c>
      <c r="E57" s="108" t="s">
        <v>223</v>
      </c>
      <c r="F57" s="110" t="s">
        <v>224</v>
      </c>
      <c r="G57" s="109">
        <v>46.32</v>
      </c>
      <c r="H57" s="87"/>
      <c r="I57" s="87"/>
      <c r="J57" s="89" t="s">
        <v>167</v>
      </c>
      <c r="K57" s="111">
        <v>3</v>
      </c>
      <c r="L57" s="87">
        <f>VLOOKUP(K57,Reinigungstage!$A$10:$B$31,2,FALSE)</f>
        <v>112.2</v>
      </c>
      <c r="M57" s="87">
        <f t="shared" si="1"/>
        <v>5197.1000000000004</v>
      </c>
      <c r="N57" s="91">
        <f>VLOOKUP(J57,'Lei Unter OS Nossen'!$A$6:$B$14,2,0)</f>
        <v>0</v>
      </c>
      <c r="O57" s="92" t="str">
        <f ca="1">'SVS UnterhaltsRG'!$H$61</f>
        <v/>
      </c>
      <c r="P57" s="87">
        <f t="shared" si="5"/>
        <v>0</v>
      </c>
      <c r="Q57" s="87">
        <f t="shared" si="6"/>
        <v>0</v>
      </c>
      <c r="R57" s="87">
        <f t="shared" si="7"/>
        <v>0</v>
      </c>
      <c r="S57" s="87">
        <f t="shared" si="8"/>
        <v>0</v>
      </c>
    </row>
    <row r="58" spans="1:19" x14ac:dyDescent="0.25">
      <c r="A58" s="62">
        <v>53</v>
      </c>
      <c r="B58" s="89">
        <v>105</v>
      </c>
      <c r="C58" s="105" t="s">
        <v>201</v>
      </c>
      <c r="D58" s="89" t="s">
        <v>208</v>
      </c>
      <c r="E58" s="108" t="s">
        <v>295</v>
      </c>
      <c r="F58" s="110" t="s">
        <v>224</v>
      </c>
      <c r="G58" s="109">
        <v>16.62</v>
      </c>
      <c r="H58" s="87"/>
      <c r="I58" s="87"/>
      <c r="J58" s="89" t="s">
        <v>167</v>
      </c>
      <c r="K58" s="111">
        <v>3</v>
      </c>
      <c r="L58" s="87">
        <f>VLOOKUP(K58,Reinigungstage!$A$10:$B$31,2,FALSE)</f>
        <v>112.2</v>
      </c>
      <c r="M58" s="87">
        <f t="shared" si="1"/>
        <v>1864.76</v>
      </c>
      <c r="N58" s="91">
        <f>VLOOKUP(J58,'Lei Unter OS Nossen'!$A$6:$B$14,2,0)</f>
        <v>0</v>
      </c>
      <c r="O58" s="92" t="str">
        <f ca="1">'SVS UnterhaltsRG'!$H$61</f>
        <v/>
      </c>
      <c r="P58" s="87">
        <f t="shared" si="5"/>
        <v>0</v>
      </c>
      <c r="Q58" s="87">
        <f t="shared" si="6"/>
        <v>0</v>
      </c>
      <c r="R58" s="87">
        <f t="shared" si="7"/>
        <v>0</v>
      </c>
      <c r="S58" s="87">
        <f t="shared" si="8"/>
        <v>0</v>
      </c>
    </row>
    <row r="59" spans="1:19" x14ac:dyDescent="0.25">
      <c r="A59" s="62">
        <v>54</v>
      </c>
      <c r="B59" s="89">
        <v>106</v>
      </c>
      <c r="C59" s="105" t="s">
        <v>201</v>
      </c>
      <c r="D59" s="89" t="s">
        <v>208</v>
      </c>
      <c r="E59" s="108" t="s">
        <v>296</v>
      </c>
      <c r="F59" s="110" t="s">
        <v>224</v>
      </c>
      <c r="G59" s="109">
        <v>16.62</v>
      </c>
      <c r="H59" s="87"/>
      <c r="I59" s="87"/>
      <c r="J59" s="89" t="s">
        <v>167</v>
      </c>
      <c r="K59" s="111">
        <v>3</v>
      </c>
      <c r="L59" s="87">
        <f>VLOOKUP(K59,Reinigungstage!$A$10:$B$31,2,FALSE)</f>
        <v>112.2</v>
      </c>
      <c r="M59" s="87">
        <f t="shared" si="1"/>
        <v>1864.76</v>
      </c>
      <c r="N59" s="91">
        <f>VLOOKUP(J59,'Lei Unter OS Nossen'!$A$6:$B$14,2,0)</f>
        <v>0</v>
      </c>
      <c r="O59" s="92" t="str">
        <f ca="1">'SVS UnterhaltsRG'!$H$61</f>
        <v/>
      </c>
      <c r="P59" s="87">
        <f t="shared" si="5"/>
        <v>0</v>
      </c>
      <c r="Q59" s="87">
        <f t="shared" si="6"/>
        <v>0</v>
      </c>
      <c r="R59" s="87">
        <f t="shared" si="7"/>
        <v>0</v>
      </c>
      <c r="S59" s="87">
        <f t="shared" si="8"/>
        <v>0</v>
      </c>
    </row>
    <row r="60" spans="1:19" x14ac:dyDescent="0.25">
      <c r="A60" s="62">
        <v>55</v>
      </c>
      <c r="B60" s="89">
        <v>107</v>
      </c>
      <c r="C60" s="105" t="s">
        <v>201</v>
      </c>
      <c r="D60" s="89" t="s">
        <v>208</v>
      </c>
      <c r="E60" s="108" t="s">
        <v>297</v>
      </c>
      <c r="F60" s="110" t="s">
        <v>224</v>
      </c>
      <c r="G60" s="109">
        <v>16.37</v>
      </c>
      <c r="H60" s="87"/>
      <c r="I60" s="87"/>
      <c r="J60" s="89" t="s">
        <v>167</v>
      </c>
      <c r="K60" s="111">
        <v>3</v>
      </c>
      <c r="L60" s="87">
        <f>VLOOKUP(K60,Reinigungstage!$A$10:$B$31,2,FALSE)</f>
        <v>112.2</v>
      </c>
      <c r="M60" s="87">
        <f t="shared" si="1"/>
        <v>1836.71</v>
      </c>
      <c r="N60" s="91">
        <f>VLOOKUP(J60,'Lei Unter OS Nossen'!$A$6:$B$14,2,0)</f>
        <v>0</v>
      </c>
      <c r="O60" s="92" t="str">
        <f ca="1">'SVS UnterhaltsRG'!$H$61</f>
        <v/>
      </c>
      <c r="P60" s="87">
        <f t="shared" si="5"/>
        <v>0</v>
      </c>
      <c r="Q60" s="87">
        <f t="shared" si="6"/>
        <v>0</v>
      </c>
      <c r="R60" s="87">
        <f t="shared" si="7"/>
        <v>0</v>
      </c>
      <c r="S60" s="87">
        <f t="shared" si="8"/>
        <v>0</v>
      </c>
    </row>
    <row r="61" spans="1:19" x14ac:dyDescent="0.25">
      <c r="A61" s="62">
        <v>56</v>
      </c>
      <c r="B61" s="89">
        <v>108</v>
      </c>
      <c r="C61" s="105" t="s">
        <v>201</v>
      </c>
      <c r="D61" s="89" t="s">
        <v>208</v>
      </c>
      <c r="E61" s="108" t="s">
        <v>298</v>
      </c>
      <c r="F61" s="110" t="s">
        <v>197</v>
      </c>
      <c r="G61" s="109">
        <v>75.819999999999993</v>
      </c>
      <c r="H61" s="87"/>
      <c r="I61" s="87"/>
      <c r="J61" s="89" t="s">
        <v>171</v>
      </c>
      <c r="K61" s="111">
        <v>5</v>
      </c>
      <c r="L61" s="87">
        <f>VLOOKUP(K61,Reinigungstage!$A$10:$B$31,2,FALSE)</f>
        <v>187</v>
      </c>
      <c r="M61" s="87">
        <f t="shared" si="1"/>
        <v>14178.34</v>
      </c>
      <c r="N61" s="91">
        <f>VLOOKUP(J61,'Lei Unter OS Nossen'!$A$6:$B$14,2,0)</f>
        <v>0</v>
      </c>
      <c r="O61" s="92" t="str">
        <f ca="1">'SVS UnterhaltsRG'!$H$61</f>
        <v/>
      </c>
      <c r="P61" s="87">
        <f t="shared" si="5"/>
        <v>0</v>
      </c>
      <c r="Q61" s="87">
        <f t="shared" si="6"/>
        <v>0</v>
      </c>
      <c r="R61" s="87">
        <f t="shared" si="7"/>
        <v>0</v>
      </c>
      <c r="S61" s="87">
        <f t="shared" si="8"/>
        <v>0</v>
      </c>
    </row>
    <row r="62" spans="1:19" x14ac:dyDescent="0.25">
      <c r="A62" s="62">
        <v>57</v>
      </c>
      <c r="B62" s="89">
        <v>109</v>
      </c>
      <c r="C62" s="105" t="s">
        <v>201</v>
      </c>
      <c r="D62" s="89" t="s">
        <v>208</v>
      </c>
      <c r="E62" s="108" t="s">
        <v>237</v>
      </c>
      <c r="F62" s="110" t="s">
        <v>197</v>
      </c>
      <c r="G62" s="109">
        <v>32.32</v>
      </c>
      <c r="H62" s="87"/>
      <c r="I62" s="87"/>
      <c r="J62" s="89" t="s">
        <v>174</v>
      </c>
      <c r="K62" s="111">
        <v>5</v>
      </c>
      <c r="L62" s="87">
        <f>VLOOKUP(K62,Reinigungstage!$A$10:$B$31,2,FALSE)</f>
        <v>187</v>
      </c>
      <c r="M62" s="87">
        <f t="shared" si="1"/>
        <v>6043.84</v>
      </c>
      <c r="N62" s="91">
        <f>VLOOKUP(J62,'Lei Unter OS Nossen'!$A$6:$B$14,2,0)</f>
        <v>0</v>
      </c>
      <c r="O62" s="92" t="str">
        <f ca="1">'SVS UnterhaltsRG'!$H$61</f>
        <v/>
      </c>
      <c r="P62" s="87">
        <f t="shared" si="5"/>
        <v>0</v>
      </c>
      <c r="Q62" s="87">
        <f t="shared" si="6"/>
        <v>0</v>
      </c>
      <c r="R62" s="87">
        <f t="shared" si="7"/>
        <v>0</v>
      </c>
      <c r="S62" s="87">
        <f t="shared" si="8"/>
        <v>0</v>
      </c>
    </row>
    <row r="63" spans="1:19" x14ac:dyDescent="0.25">
      <c r="A63" s="62">
        <v>58</v>
      </c>
      <c r="B63" s="89">
        <v>110</v>
      </c>
      <c r="C63" s="105" t="s">
        <v>201</v>
      </c>
      <c r="D63" s="89" t="s">
        <v>208</v>
      </c>
      <c r="E63" s="108" t="s">
        <v>204</v>
      </c>
      <c r="F63" s="110" t="s">
        <v>200</v>
      </c>
      <c r="G63" s="109">
        <v>32.729999999999997</v>
      </c>
      <c r="H63" s="87"/>
      <c r="I63" s="87"/>
      <c r="J63" s="89" t="s">
        <v>169</v>
      </c>
      <c r="K63" s="111">
        <v>5</v>
      </c>
      <c r="L63" s="87">
        <f>VLOOKUP(K63,Reinigungstage!$A$10:$B$31,2,FALSE)</f>
        <v>187</v>
      </c>
      <c r="M63" s="87">
        <f t="shared" si="1"/>
        <v>6120.51</v>
      </c>
      <c r="N63" s="91">
        <f>VLOOKUP(J63,'Lei Unter OS Nossen'!$A$6:$B$14,2,0)</f>
        <v>0</v>
      </c>
      <c r="O63" s="92" t="str">
        <f ca="1">'SVS UnterhaltsRG'!$H$61</f>
        <v/>
      </c>
      <c r="P63" s="87">
        <f t="shared" si="5"/>
        <v>0</v>
      </c>
      <c r="Q63" s="87">
        <f t="shared" si="6"/>
        <v>0</v>
      </c>
      <c r="R63" s="87">
        <f t="shared" si="7"/>
        <v>0</v>
      </c>
      <c r="S63" s="87">
        <f t="shared" si="8"/>
        <v>0</v>
      </c>
    </row>
    <row r="64" spans="1:19" x14ac:dyDescent="0.25">
      <c r="A64" s="62">
        <v>59</v>
      </c>
      <c r="B64" s="89">
        <v>111</v>
      </c>
      <c r="C64" s="105" t="s">
        <v>201</v>
      </c>
      <c r="D64" s="89" t="s">
        <v>208</v>
      </c>
      <c r="E64" s="108" t="s">
        <v>203</v>
      </c>
      <c r="F64" s="110" t="s">
        <v>200</v>
      </c>
      <c r="G64" s="109">
        <v>33.01</v>
      </c>
      <c r="H64" s="87"/>
      <c r="I64" s="87"/>
      <c r="J64" s="89" t="s">
        <v>169</v>
      </c>
      <c r="K64" s="111">
        <v>5</v>
      </c>
      <c r="L64" s="87">
        <f>VLOOKUP(K64,Reinigungstage!$A$10:$B$31,2,FALSE)</f>
        <v>187</v>
      </c>
      <c r="M64" s="87">
        <f t="shared" si="1"/>
        <v>6172.87</v>
      </c>
      <c r="N64" s="91">
        <f>VLOOKUP(J64,'Lei Unter OS Nossen'!$A$6:$B$14,2,0)</f>
        <v>0</v>
      </c>
      <c r="O64" s="92" t="str">
        <f ca="1">'SVS UnterhaltsRG'!$H$61</f>
        <v/>
      </c>
      <c r="P64" s="87">
        <f t="shared" si="5"/>
        <v>0</v>
      </c>
      <c r="Q64" s="87">
        <f t="shared" si="6"/>
        <v>0</v>
      </c>
      <c r="R64" s="87">
        <f t="shared" si="7"/>
        <v>0</v>
      </c>
      <c r="S64" s="87">
        <f t="shared" si="8"/>
        <v>0</v>
      </c>
    </row>
    <row r="65" spans="1:19" x14ac:dyDescent="0.25">
      <c r="A65" s="62">
        <v>60</v>
      </c>
      <c r="B65" s="89">
        <v>112</v>
      </c>
      <c r="C65" s="105" t="s">
        <v>201</v>
      </c>
      <c r="D65" s="89" t="s">
        <v>208</v>
      </c>
      <c r="E65" s="108" t="s">
        <v>299</v>
      </c>
      <c r="F65" s="110" t="s">
        <v>197</v>
      </c>
      <c r="G65" s="109">
        <v>51.47</v>
      </c>
      <c r="H65" s="87"/>
      <c r="I65" s="87"/>
      <c r="J65" s="89" t="s">
        <v>171</v>
      </c>
      <c r="K65" s="111">
        <v>5</v>
      </c>
      <c r="L65" s="87">
        <f>VLOOKUP(K65,Reinigungstage!$A$10:$B$31,2,FALSE)</f>
        <v>187</v>
      </c>
      <c r="M65" s="87">
        <f t="shared" si="1"/>
        <v>9624.89</v>
      </c>
      <c r="N65" s="91">
        <f>VLOOKUP(J65,'Lei Unter OS Nossen'!$A$6:$B$14,2,0)</f>
        <v>0</v>
      </c>
      <c r="O65" s="92" t="str">
        <f ca="1">'SVS UnterhaltsRG'!$H$61</f>
        <v/>
      </c>
      <c r="P65" s="87">
        <f t="shared" si="5"/>
        <v>0</v>
      </c>
      <c r="Q65" s="87">
        <f t="shared" si="6"/>
        <v>0</v>
      </c>
      <c r="R65" s="87">
        <f t="shared" si="7"/>
        <v>0</v>
      </c>
      <c r="S65" s="87">
        <f t="shared" si="8"/>
        <v>0</v>
      </c>
    </row>
    <row r="66" spans="1:19" x14ac:dyDescent="0.25">
      <c r="A66" s="62">
        <v>61</v>
      </c>
      <c r="B66" s="89">
        <v>113</v>
      </c>
      <c r="C66" s="105" t="s">
        <v>201</v>
      </c>
      <c r="D66" s="89" t="s">
        <v>208</v>
      </c>
      <c r="E66" s="108" t="s">
        <v>300</v>
      </c>
      <c r="F66" s="110" t="s">
        <v>197</v>
      </c>
      <c r="G66" s="109">
        <v>16.399999999999999</v>
      </c>
      <c r="H66" s="87"/>
      <c r="I66" s="87"/>
      <c r="J66" s="89" t="s">
        <v>168</v>
      </c>
      <c r="K66" s="111">
        <v>2</v>
      </c>
      <c r="L66" s="87">
        <f>VLOOKUP(K66,Reinigungstage!$A$10:$B$31,2,FALSE)</f>
        <v>77.7</v>
      </c>
      <c r="M66" s="87">
        <f t="shared" si="1"/>
        <v>1274.28</v>
      </c>
      <c r="N66" s="91">
        <f>VLOOKUP(J66,'Lei Unter OS Nossen'!$A$6:$B$14,2,0)</f>
        <v>0</v>
      </c>
      <c r="O66" s="92" t="str">
        <f ca="1">'SVS UnterhaltsRG'!$H$61</f>
        <v/>
      </c>
      <c r="P66" s="87">
        <f t="shared" si="5"/>
        <v>0</v>
      </c>
      <c r="Q66" s="87">
        <f t="shared" si="6"/>
        <v>0</v>
      </c>
      <c r="R66" s="87">
        <f t="shared" si="7"/>
        <v>0</v>
      </c>
      <c r="S66" s="87">
        <f t="shared" si="8"/>
        <v>0</v>
      </c>
    </row>
    <row r="67" spans="1:19" x14ac:dyDescent="0.25">
      <c r="A67" s="62">
        <v>62</v>
      </c>
      <c r="B67" s="89">
        <v>114</v>
      </c>
      <c r="C67" s="105" t="s">
        <v>201</v>
      </c>
      <c r="D67" s="89" t="s">
        <v>208</v>
      </c>
      <c r="E67" s="108" t="s">
        <v>301</v>
      </c>
      <c r="F67" s="110" t="s">
        <v>197</v>
      </c>
      <c r="G67" s="109">
        <v>50.57</v>
      </c>
      <c r="H67" s="87"/>
      <c r="I67" s="87"/>
      <c r="J67" s="89" t="s">
        <v>173</v>
      </c>
      <c r="K67" s="111">
        <v>5</v>
      </c>
      <c r="L67" s="87">
        <f>VLOOKUP(K67,Reinigungstage!$A$10:$B$31,2,FALSE)</f>
        <v>187</v>
      </c>
      <c r="M67" s="87">
        <f t="shared" si="1"/>
        <v>9456.59</v>
      </c>
      <c r="N67" s="91">
        <f>VLOOKUP(J67,'Lei Unter OS Nossen'!$A$6:$B$14,2,0)</f>
        <v>0</v>
      </c>
      <c r="O67" s="92" t="str">
        <f ca="1">'SVS UnterhaltsRG'!$H$61</f>
        <v/>
      </c>
      <c r="P67" s="87">
        <f t="shared" si="5"/>
        <v>0</v>
      </c>
      <c r="Q67" s="87">
        <f t="shared" si="6"/>
        <v>0</v>
      </c>
      <c r="R67" s="87">
        <f t="shared" si="7"/>
        <v>0</v>
      </c>
      <c r="S67" s="87">
        <f t="shared" si="8"/>
        <v>0</v>
      </c>
    </row>
    <row r="68" spans="1:19" x14ac:dyDescent="0.25">
      <c r="A68" s="62">
        <v>63</v>
      </c>
      <c r="B68" s="89">
        <v>115</v>
      </c>
      <c r="C68" s="105" t="s">
        <v>201</v>
      </c>
      <c r="D68" s="89" t="s">
        <v>208</v>
      </c>
      <c r="E68" s="108" t="s">
        <v>237</v>
      </c>
      <c r="F68" s="110" t="s">
        <v>197</v>
      </c>
      <c r="G68" s="109">
        <v>37.31</v>
      </c>
      <c r="H68" s="87"/>
      <c r="I68" s="87"/>
      <c r="J68" s="89" t="s">
        <v>174</v>
      </c>
      <c r="K68" s="111">
        <v>5</v>
      </c>
      <c r="L68" s="87">
        <f>VLOOKUP(K68,Reinigungstage!$A$10:$B$31,2,FALSE)</f>
        <v>187</v>
      </c>
      <c r="M68" s="87">
        <f t="shared" si="1"/>
        <v>6976.97</v>
      </c>
      <c r="N68" s="91">
        <f>VLOOKUP(J68,'Lei Unter OS Nossen'!$A$6:$B$14,2,0)</f>
        <v>0</v>
      </c>
      <c r="O68" s="92" t="str">
        <f ca="1">'SVS UnterhaltsRG'!$H$61</f>
        <v/>
      </c>
      <c r="P68" s="87">
        <f t="shared" si="5"/>
        <v>0</v>
      </c>
      <c r="Q68" s="87">
        <f t="shared" si="6"/>
        <v>0</v>
      </c>
      <c r="R68" s="87">
        <f t="shared" si="7"/>
        <v>0</v>
      </c>
      <c r="S68" s="87">
        <f t="shared" si="8"/>
        <v>0</v>
      </c>
    </row>
    <row r="69" spans="1:19" x14ac:dyDescent="0.25">
      <c r="A69" s="62">
        <v>64</v>
      </c>
      <c r="B69" s="89">
        <v>116</v>
      </c>
      <c r="C69" s="105" t="s">
        <v>201</v>
      </c>
      <c r="D69" s="89" t="s">
        <v>208</v>
      </c>
      <c r="E69" s="108" t="s">
        <v>302</v>
      </c>
      <c r="F69" s="110" t="s">
        <v>197</v>
      </c>
      <c r="G69" s="109">
        <v>17.73</v>
      </c>
      <c r="H69" s="87"/>
      <c r="I69" s="87"/>
      <c r="J69" s="89" t="s">
        <v>168</v>
      </c>
      <c r="K69" s="111">
        <v>2</v>
      </c>
      <c r="L69" s="87">
        <f>VLOOKUP(K69,Reinigungstage!$A$10:$B$31,2,FALSE)</f>
        <v>77.7</v>
      </c>
      <c r="M69" s="87">
        <f t="shared" si="1"/>
        <v>1377.62</v>
      </c>
      <c r="N69" s="91">
        <f>VLOOKUP(J69,'Lei Unter OS Nossen'!$A$6:$B$14,2,0)</f>
        <v>0</v>
      </c>
      <c r="O69" s="92" t="str">
        <f ca="1">'SVS UnterhaltsRG'!$H$61</f>
        <v/>
      </c>
      <c r="P69" s="87">
        <f t="shared" si="5"/>
        <v>0</v>
      </c>
      <c r="Q69" s="87">
        <f t="shared" si="6"/>
        <v>0</v>
      </c>
      <c r="R69" s="87">
        <f t="shared" si="7"/>
        <v>0</v>
      </c>
      <c r="S69" s="87">
        <f t="shared" si="8"/>
        <v>0</v>
      </c>
    </row>
    <row r="70" spans="1:19" x14ac:dyDescent="0.25">
      <c r="A70" s="62">
        <v>65</v>
      </c>
      <c r="B70" s="89">
        <v>117</v>
      </c>
      <c r="C70" s="105" t="s">
        <v>201</v>
      </c>
      <c r="D70" s="89" t="s">
        <v>208</v>
      </c>
      <c r="E70" s="108" t="s">
        <v>303</v>
      </c>
      <c r="F70" s="110" t="s">
        <v>197</v>
      </c>
      <c r="G70" s="109">
        <v>50.54</v>
      </c>
      <c r="H70" s="87"/>
      <c r="I70" s="87"/>
      <c r="J70" s="89" t="s">
        <v>173</v>
      </c>
      <c r="K70" s="111">
        <v>5</v>
      </c>
      <c r="L70" s="87">
        <f>VLOOKUP(K70,Reinigungstage!$A$10:$B$31,2,FALSE)</f>
        <v>187</v>
      </c>
      <c r="M70" s="87">
        <f t="shared" ref="M70:M105" si="9">ROUND(IF(L70=0,0,L70*G70),2)</f>
        <v>9450.98</v>
      </c>
      <c r="N70" s="91">
        <f>VLOOKUP(J70,'Lei Unter OS Nossen'!$A$6:$B$14,2,0)</f>
        <v>0</v>
      </c>
      <c r="O70" s="92" t="str">
        <f ca="1">'SVS UnterhaltsRG'!$H$61</f>
        <v/>
      </c>
      <c r="P70" s="87">
        <f t="shared" si="5"/>
        <v>0</v>
      </c>
      <c r="Q70" s="87">
        <f t="shared" si="6"/>
        <v>0</v>
      </c>
      <c r="R70" s="87">
        <f t="shared" si="7"/>
        <v>0</v>
      </c>
      <c r="S70" s="87">
        <f t="shared" si="8"/>
        <v>0</v>
      </c>
    </row>
    <row r="71" spans="1:19" x14ac:dyDescent="0.25">
      <c r="A71" s="62">
        <v>66</v>
      </c>
      <c r="B71" s="89">
        <v>118</v>
      </c>
      <c r="C71" s="105" t="s">
        <v>201</v>
      </c>
      <c r="D71" s="89" t="s">
        <v>208</v>
      </c>
      <c r="E71" s="108" t="s">
        <v>304</v>
      </c>
      <c r="F71" s="110" t="s">
        <v>197</v>
      </c>
      <c r="G71" s="109">
        <v>50.54</v>
      </c>
      <c r="H71" s="87"/>
      <c r="I71" s="87"/>
      <c r="J71" s="89" t="s">
        <v>173</v>
      </c>
      <c r="K71" s="111">
        <v>5</v>
      </c>
      <c r="L71" s="87">
        <f>VLOOKUP(K71,Reinigungstage!$A$10:$B$31,2,FALSE)</f>
        <v>187</v>
      </c>
      <c r="M71" s="87">
        <f t="shared" si="9"/>
        <v>9450.98</v>
      </c>
      <c r="N71" s="91">
        <f>VLOOKUP(J71,'Lei Unter OS Nossen'!$A$6:$B$14,2,0)</f>
        <v>0</v>
      </c>
      <c r="O71" s="92" t="str">
        <f ca="1">'SVS UnterhaltsRG'!$H$61</f>
        <v/>
      </c>
      <c r="P71" s="87">
        <f t="shared" ref="P71:P105" si="10">ROUND(IF(N71=0,0,M71/N71),2)</f>
        <v>0</v>
      </c>
      <c r="Q71" s="87">
        <f t="shared" ref="Q71:Q105" si="11">ROUND(IF(P71=0,0,P71*O71),2)</f>
        <v>0</v>
      </c>
      <c r="R71" s="87">
        <f t="shared" ref="R71:R105" si="12">ROUND(IF(P71=0,0,P71/L71),2)</f>
        <v>0</v>
      </c>
      <c r="S71" s="87">
        <f t="shared" ref="S71:S105" si="13">ROUND(IF(Q71=0,0,Q71/L71),2)</f>
        <v>0</v>
      </c>
    </row>
    <row r="72" spans="1:19" x14ac:dyDescent="0.25">
      <c r="A72" s="62">
        <v>67</v>
      </c>
      <c r="B72" s="89">
        <v>119</v>
      </c>
      <c r="C72" s="105" t="s">
        <v>201</v>
      </c>
      <c r="D72" s="89" t="s">
        <v>208</v>
      </c>
      <c r="E72" s="108" t="s">
        <v>305</v>
      </c>
      <c r="F72" s="110" t="s">
        <v>197</v>
      </c>
      <c r="G72" s="109">
        <v>50.54</v>
      </c>
      <c r="H72" s="87"/>
      <c r="I72" s="87"/>
      <c r="J72" s="89" t="s">
        <v>173</v>
      </c>
      <c r="K72" s="111">
        <v>5</v>
      </c>
      <c r="L72" s="87">
        <f>VLOOKUP(K72,Reinigungstage!$A$10:$B$31,2,FALSE)</f>
        <v>187</v>
      </c>
      <c r="M72" s="87">
        <f t="shared" si="9"/>
        <v>9450.98</v>
      </c>
      <c r="N72" s="91">
        <f>VLOOKUP(J72,'Lei Unter OS Nossen'!$A$6:$B$14,2,0)</f>
        <v>0</v>
      </c>
      <c r="O72" s="92" t="str">
        <f ca="1">'SVS UnterhaltsRG'!$H$61</f>
        <v/>
      </c>
      <c r="P72" s="87">
        <f t="shared" si="10"/>
        <v>0</v>
      </c>
      <c r="Q72" s="87">
        <f t="shared" si="11"/>
        <v>0</v>
      </c>
      <c r="R72" s="87">
        <f t="shared" si="12"/>
        <v>0</v>
      </c>
      <c r="S72" s="87">
        <f t="shared" si="13"/>
        <v>0</v>
      </c>
    </row>
    <row r="73" spans="1:19" x14ac:dyDescent="0.25">
      <c r="A73" s="62">
        <v>68</v>
      </c>
      <c r="B73" s="89">
        <v>120</v>
      </c>
      <c r="C73" s="105" t="s">
        <v>201</v>
      </c>
      <c r="D73" s="89" t="s">
        <v>208</v>
      </c>
      <c r="E73" s="108" t="s">
        <v>306</v>
      </c>
      <c r="F73" s="110" t="s">
        <v>197</v>
      </c>
      <c r="G73" s="109">
        <v>17.73</v>
      </c>
      <c r="H73" s="87"/>
      <c r="I73" s="87"/>
      <c r="J73" s="89" t="s">
        <v>168</v>
      </c>
      <c r="K73" s="111">
        <v>2</v>
      </c>
      <c r="L73" s="87">
        <f>VLOOKUP(K73,Reinigungstage!$A$10:$B$31,2,FALSE)</f>
        <v>77.7</v>
      </c>
      <c r="M73" s="87">
        <f t="shared" si="9"/>
        <v>1377.62</v>
      </c>
      <c r="N73" s="91">
        <f>VLOOKUP(J73,'Lei Unter OS Nossen'!$A$6:$B$14,2,0)</f>
        <v>0</v>
      </c>
      <c r="O73" s="92" t="str">
        <f ca="1">'SVS UnterhaltsRG'!$H$61</f>
        <v/>
      </c>
      <c r="P73" s="87">
        <f t="shared" si="10"/>
        <v>0</v>
      </c>
      <c r="Q73" s="87">
        <f t="shared" si="11"/>
        <v>0</v>
      </c>
      <c r="R73" s="87">
        <f t="shared" si="12"/>
        <v>0</v>
      </c>
      <c r="S73" s="87">
        <f t="shared" si="13"/>
        <v>0</v>
      </c>
    </row>
    <row r="74" spans="1:19" x14ac:dyDescent="0.25">
      <c r="A74" s="62">
        <v>69</v>
      </c>
      <c r="B74" s="89">
        <v>121</v>
      </c>
      <c r="C74" s="105" t="s">
        <v>201</v>
      </c>
      <c r="D74" s="89" t="s">
        <v>208</v>
      </c>
      <c r="E74" s="108" t="s">
        <v>237</v>
      </c>
      <c r="F74" s="110" t="s">
        <v>197</v>
      </c>
      <c r="G74" s="109">
        <v>36.630000000000003</v>
      </c>
      <c r="H74" s="87"/>
      <c r="I74" s="87"/>
      <c r="J74" s="89" t="s">
        <v>174</v>
      </c>
      <c r="K74" s="111">
        <v>5</v>
      </c>
      <c r="L74" s="87">
        <f>VLOOKUP(K74,Reinigungstage!$A$10:$B$31,2,FALSE)</f>
        <v>187</v>
      </c>
      <c r="M74" s="87">
        <f t="shared" si="9"/>
        <v>6849.81</v>
      </c>
      <c r="N74" s="91">
        <f>VLOOKUP(J74,'Lei Unter OS Nossen'!$A$6:$B$14,2,0)</f>
        <v>0</v>
      </c>
      <c r="O74" s="92" t="str">
        <f ca="1">'SVS UnterhaltsRG'!$H$61</f>
        <v/>
      </c>
      <c r="P74" s="87">
        <f t="shared" si="10"/>
        <v>0</v>
      </c>
      <c r="Q74" s="87">
        <f t="shared" si="11"/>
        <v>0</v>
      </c>
      <c r="R74" s="87">
        <f t="shared" si="12"/>
        <v>0</v>
      </c>
      <c r="S74" s="87">
        <f t="shared" si="13"/>
        <v>0</v>
      </c>
    </row>
    <row r="75" spans="1:19" x14ac:dyDescent="0.25">
      <c r="A75" s="62">
        <v>70</v>
      </c>
      <c r="B75" s="89">
        <v>122</v>
      </c>
      <c r="C75" s="105" t="s">
        <v>201</v>
      </c>
      <c r="D75" s="89" t="s">
        <v>208</v>
      </c>
      <c r="E75" s="108" t="s">
        <v>305</v>
      </c>
      <c r="F75" s="110" t="s">
        <v>197</v>
      </c>
      <c r="G75" s="109">
        <v>50.54</v>
      </c>
      <c r="H75" s="87"/>
      <c r="I75" s="87"/>
      <c r="J75" s="89" t="s">
        <v>173</v>
      </c>
      <c r="K75" s="111">
        <v>5</v>
      </c>
      <c r="L75" s="87">
        <f>VLOOKUP(K75,Reinigungstage!$A$10:$B$31,2,FALSE)</f>
        <v>187</v>
      </c>
      <c r="M75" s="87">
        <f t="shared" si="9"/>
        <v>9450.98</v>
      </c>
      <c r="N75" s="91">
        <f>VLOOKUP(J75,'Lei Unter OS Nossen'!$A$6:$B$14,2,0)</f>
        <v>0</v>
      </c>
      <c r="O75" s="92" t="str">
        <f ca="1">'SVS UnterhaltsRG'!$H$61</f>
        <v/>
      </c>
      <c r="P75" s="87">
        <f t="shared" si="10"/>
        <v>0</v>
      </c>
      <c r="Q75" s="87">
        <f t="shared" si="11"/>
        <v>0</v>
      </c>
      <c r="R75" s="87">
        <f t="shared" si="12"/>
        <v>0</v>
      </c>
      <c r="S75" s="87">
        <f t="shared" si="13"/>
        <v>0</v>
      </c>
    </row>
    <row r="76" spans="1:19" x14ac:dyDescent="0.25">
      <c r="A76" s="62">
        <v>71</v>
      </c>
      <c r="B76" s="89">
        <v>123</v>
      </c>
      <c r="C76" s="105" t="s">
        <v>201</v>
      </c>
      <c r="D76" s="89" t="s">
        <v>208</v>
      </c>
      <c r="E76" s="108" t="s">
        <v>307</v>
      </c>
      <c r="F76" s="110" t="s">
        <v>197</v>
      </c>
      <c r="G76" s="109">
        <v>50.54</v>
      </c>
      <c r="H76" s="87"/>
      <c r="I76" s="87"/>
      <c r="J76" s="89" t="s">
        <v>173</v>
      </c>
      <c r="K76" s="111">
        <v>5</v>
      </c>
      <c r="L76" s="87">
        <f>VLOOKUP(K76,Reinigungstage!$A$10:$B$31,2,FALSE)</f>
        <v>187</v>
      </c>
      <c r="M76" s="87">
        <f t="shared" si="9"/>
        <v>9450.98</v>
      </c>
      <c r="N76" s="91">
        <f>VLOOKUP(J76,'Lei Unter OS Nossen'!$A$6:$B$14,2,0)</f>
        <v>0</v>
      </c>
      <c r="O76" s="92" t="str">
        <f ca="1">'SVS UnterhaltsRG'!$H$61</f>
        <v/>
      </c>
      <c r="P76" s="87">
        <f t="shared" si="10"/>
        <v>0</v>
      </c>
      <c r="Q76" s="87">
        <f t="shared" si="11"/>
        <v>0</v>
      </c>
      <c r="R76" s="87">
        <f t="shared" si="12"/>
        <v>0</v>
      </c>
      <c r="S76" s="87">
        <f t="shared" si="13"/>
        <v>0</v>
      </c>
    </row>
    <row r="77" spans="1:19" x14ac:dyDescent="0.25">
      <c r="A77" s="62">
        <v>72</v>
      </c>
      <c r="B77" s="89">
        <v>124</v>
      </c>
      <c r="C77" s="105" t="s">
        <v>201</v>
      </c>
      <c r="D77" s="89" t="s">
        <v>208</v>
      </c>
      <c r="E77" s="108" t="s">
        <v>308</v>
      </c>
      <c r="F77" s="110" t="s">
        <v>197</v>
      </c>
      <c r="G77" s="109">
        <v>17.73</v>
      </c>
      <c r="H77" s="87"/>
      <c r="I77" s="87"/>
      <c r="J77" s="89" t="s">
        <v>168</v>
      </c>
      <c r="K77" s="111">
        <v>2</v>
      </c>
      <c r="L77" s="87">
        <f>VLOOKUP(K77,Reinigungstage!$A$10:$B$31,2,FALSE)</f>
        <v>77.7</v>
      </c>
      <c r="M77" s="87">
        <f t="shared" si="9"/>
        <v>1377.62</v>
      </c>
      <c r="N77" s="91">
        <f>VLOOKUP(J77,'Lei Unter OS Nossen'!$A$6:$B$14,2,0)</f>
        <v>0</v>
      </c>
      <c r="O77" s="92" t="str">
        <f ca="1">'SVS UnterhaltsRG'!$H$61</f>
        <v/>
      </c>
      <c r="P77" s="87">
        <f t="shared" si="10"/>
        <v>0</v>
      </c>
      <c r="Q77" s="87">
        <f t="shared" si="11"/>
        <v>0</v>
      </c>
      <c r="R77" s="87">
        <f t="shared" si="12"/>
        <v>0</v>
      </c>
      <c r="S77" s="87">
        <f t="shared" si="13"/>
        <v>0</v>
      </c>
    </row>
    <row r="78" spans="1:19" x14ac:dyDescent="0.25">
      <c r="A78" s="62">
        <v>73</v>
      </c>
      <c r="B78" s="89">
        <v>125</v>
      </c>
      <c r="C78" s="105" t="s">
        <v>201</v>
      </c>
      <c r="D78" s="89" t="s">
        <v>208</v>
      </c>
      <c r="E78" s="108" t="s">
        <v>237</v>
      </c>
      <c r="F78" s="110" t="s">
        <v>197</v>
      </c>
      <c r="G78" s="109">
        <v>36.94</v>
      </c>
      <c r="H78" s="87"/>
      <c r="I78" s="87"/>
      <c r="J78" s="89" t="s">
        <v>174</v>
      </c>
      <c r="K78" s="111">
        <v>5</v>
      </c>
      <c r="L78" s="87">
        <f>VLOOKUP(K78,Reinigungstage!$A$10:$B$31,2,FALSE)</f>
        <v>187</v>
      </c>
      <c r="M78" s="87">
        <f t="shared" si="9"/>
        <v>6907.78</v>
      </c>
      <c r="N78" s="91">
        <f>VLOOKUP(J78,'Lei Unter OS Nossen'!$A$6:$B$14,2,0)</f>
        <v>0</v>
      </c>
      <c r="O78" s="92" t="str">
        <f ca="1">'SVS UnterhaltsRG'!$H$61</f>
        <v/>
      </c>
      <c r="P78" s="87">
        <f t="shared" si="10"/>
        <v>0</v>
      </c>
      <c r="Q78" s="87">
        <f t="shared" si="11"/>
        <v>0</v>
      </c>
      <c r="R78" s="87">
        <f t="shared" si="12"/>
        <v>0</v>
      </c>
      <c r="S78" s="87">
        <f t="shared" si="13"/>
        <v>0</v>
      </c>
    </row>
    <row r="79" spans="1:19" x14ac:dyDescent="0.25">
      <c r="A79" s="62">
        <v>74</v>
      </c>
      <c r="B79" s="89">
        <v>126</v>
      </c>
      <c r="C79" s="105" t="s">
        <v>201</v>
      </c>
      <c r="D79" s="89" t="s">
        <v>208</v>
      </c>
      <c r="E79" s="108" t="s">
        <v>307</v>
      </c>
      <c r="F79" s="110" t="s">
        <v>197</v>
      </c>
      <c r="G79" s="109">
        <v>50.54</v>
      </c>
      <c r="H79" s="87"/>
      <c r="I79" s="87"/>
      <c r="J79" s="89" t="s">
        <v>173</v>
      </c>
      <c r="K79" s="111">
        <v>5</v>
      </c>
      <c r="L79" s="87">
        <f>VLOOKUP(K79,Reinigungstage!$A$10:$B$31,2,FALSE)</f>
        <v>187</v>
      </c>
      <c r="M79" s="87">
        <f t="shared" si="9"/>
        <v>9450.98</v>
      </c>
      <c r="N79" s="91">
        <f>VLOOKUP(J79,'Lei Unter OS Nossen'!$A$6:$B$14,2,0)</f>
        <v>0</v>
      </c>
      <c r="O79" s="92" t="str">
        <f ca="1">'SVS UnterhaltsRG'!$H$61</f>
        <v/>
      </c>
      <c r="P79" s="87">
        <f t="shared" si="10"/>
        <v>0</v>
      </c>
      <c r="Q79" s="87">
        <f t="shared" si="11"/>
        <v>0</v>
      </c>
      <c r="R79" s="87">
        <f t="shared" si="12"/>
        <v>0</v>
      </c>
      <c r="S79" s="87">
        <f t="shared" si="13"/>
        <v>0</v>
      </c>
    </row>
    <row r="80" spans="1:19" x14ac:dyDescent="0.25">
      <c r="A80" s="62">
        <v>75</v>
      </c>
      <c r="B80" s="89">
        <v>201</v>
      </c>
      <c r="C80" s="105" t="s">
        <v>202</v>
      </c>
      <c r="D80" s="89" t="s">
        <v>208</v>
      </c>
      <c r="E80" s="108" t="s">
        <v>309</v>
      </c>
      <c r="F80" s="110" t="s">
        <v>197</v>
      </c>
      <c r="G80" s="109">
        <v>76.349999999999994</v>
      </c>
      <c r="H80" s="87"/>
      <c r="I80" s="87"/>
      <c r="J80" s="89" t="s">
        <v>173</v>
      </c>
      <c r="K80" s="111">
        <v>5</v>
      </c>
      <c r="L80" s="87">
        <f>VLOOKUP(K80,Reinigungstage!$A$10:$B$31,2,FALSE)</f>
        <v>187</v>
      </c>
      <c r="M80" s="87">
        <f t="shared" si="9"/>
        <v>14277.45</v>
      </c>
      <c r="N80" s="91">
        <f>VLOOKUP(J80,'Lei Unter OS Nossen'!$A$6:$B$14,2,0)</f>
        <v>0</v>
      </c>
      <c r="O80" s="92" t="str">
        <f ca="1">'SVS UnterhaltsRG'!$H$61</f>
        <v/>
      </c>
      <c r="P80" s="87">
        <f t="shared" si="10"/>
        <v>0</v>
      </c>
      <c r="Q80" s="87">
        <f t="shared" si="11"/>
        <v>0</v>
      </c>
      <c r="R80" s="87">
        <f t="shared" si="12"/>
        <v>0</v>
      </c>
      <c r="S80" s="87">
        <f t="shared" si="13"/>
        <v>0</v>
      </c>
    </row>
    <row r="81" spans="1:19" x14ac:dyDescent="0.25">
      <c r="A81" s="62">
        <v>76</v>
      </c>
      <c r="B81" s="89">
        <v>202</v>
      </c>
      <c r="C81" s="105" t="s">
        <v>202</v>
      </c>
      <c r="D81" s="89" t="s">
        <v>208</v>
      </c>
      <c r="E81" s="108" t="s">
        <v>310</v>
      </c>
      <c r="F81" s="110" t="s">
        <v>197</v>
      </c>
      <c r="G81" s="109">
        <v>33.65</v>
      </c>
      <c r="H81" s="87"/>
      <c r="I81" s="87"/>
      <c r="J81" s="89" t="s">
        <v>168</v>
      </c>
      <c r="K81" s="111">
        <v>2</v>
      </c>
      <c r="L81" s="87">
        <f>VLOOKUP(K81,Reinigungstage!$A$10:$B$31,2,FALSE)</f>
        <v>77.7</v>
      </c>
      <c r="M81" s="87">
        <f t="shared" si="9"/>
        <v>2614.61</v>
      </c>
      <c r="N81" s="91">
        <f>VLOOKUP(J81,'Lei Unter OS Nossen'!$A$6:$B$14,2,0)</f>
        <v>0</v>
      </c>
      <c r="O81" s="92" t="str">
        <f ca="1">'SVS UnterhaltsRG'!$H$61</f>
        <v/>
      </c>
      <c r="P81" s="87">
        <f t="shared" si="10"/>
        <v>0</v>
      </c>
      <c r="Q81" s="87">
        <f t="shared" si="11"/>
        <v>0</v>
      </c>
      <c r="R81" s="87">
        <f t="shared" si="12"/>
        <v>0</v>
      </c>
      <c r="S81" s="87">
        <f t="shared" si="13"/>
        <v>0</v>
      </c>
    </row>
    <row r="82" spans="1:19" x14ac:dyDescent="0.25">
      <c r="A82" s="62">
        <v>77</v>
      </c>
      <c r="B82" s="89">
        <v>203</v>
      </c>
      <c r="C82" s="105" t="s">
        <v>202</v>
      </c>
      <c r="D82" s="89" t="s">
        <v>208</v>
      </c>
      <c r="E82" s="108" t="s">
        <v>238</v>
      </c>
      <c r="F82" s="110" t="s">
        <v>197</v>
      </c>
      <c r="G82" s="109">
        <v>44.21</v>
      </c>
      <c r="H82" s="87"/>
      <c r="I82" s="87"/>
      <c r="J82" s="89" t="s">
        <v>171</v>
      </c>
      <c r="K82" s="111">
        <v>5</v>
      </c>
      <c r="L82" s="87">
        <f>VLOOKUP(K82,Reinigungstage!$A$10:$B$31,2,FALSE)</f>
        <v>187</v>
      </c>
      <c r="M82" s="87">
        <f t="shared" si="9"/>
        <v>8267.27</v>
      </c>
      <c r="N82" s="91">
        <f>VLOOKUP(J82,'Lei Unter OS Nossen'!$A$6:$B$14,2,0)</f>
        <v>0</v>
      </c>
      <c r="O82" s="92" t="str">
        <f ca="1">'SVS UnterhaltsRG'!$H$61</f>
        <v/>
      </c>
      <c r="P82" s="87">
        <f t="shared" si="10"/>
        <v>0</v>
      </c>
      <c r="Q82" s="87">
        <f t="shared" si="11"/>
        <v>0</v>
      </c>
      <c r="R82" s="87">
        <f t="shared" si="12"/>
        <v>0</v>
      </c>
      <c r="S82" s="87">
        <f t="shared" si="13"/>
        <v>0</v>
      </c>
    </row>
    <row r="83" spans="1:19" x14ac:dyDescent="0.25">
      <c r="A83" s="62">
        <v>78</v>
      </c>
      <c r="B83" s="89">
        <v>204</v>
      </c>
      <c r="C83" s="105" t="s">
        <v>202</v>
      </c>
      <c r="D83" s="89" t="s">
        <v>208</v>
      </c>
      <c r="E83" s="108" t="s">
        <v>311</v>
      </c>
      <c r="F83" s="110" t="s">
        <v>197</v>
      </c>
      <c r="G83" s="109">
        <v>46.32</v>
      </c>
      <c r="H83" s="87"/>
      <c r="I83" s="87"/>
      <c r="J83" s="89" t="s">
        <v>173</v>
      </c>
      <c r="K83" s="111">
        <v>5</v>
      </c>
      <c r="L83" s="87">
        <f>VLOOKUP(K83,Reinigungstage!$A$10:$B$31,2,FALSE)</f>
        <v>187</v>
      </c>
      <c r="M83" s="87">
        <f t="shared" si="9"/>
        <v>8661.84</v>
      </c>
      <c r="N83" s="91">
        <f>VLOOKUP(J83,'Lei Unter OS Nossen'!$A$6:$B$14,2,0)</f>
        <v>0</v>
      </c>
      <c r="O83" s="92" t="str">
        <f ca="1">'SVS UnterhaltsRG'!$H$61</f>
        <v/>
      </c>
      <c r="P83" s="87">
        <f t="shared" si="10"/>
        <v>0</v>
      </c>
      <c r="Q83" s="87">
        <f t="shared" si="11"/>
        <v>0</v>
      </c>
      <c r="R83" s="87">
        <f t="shared" si="12"/>
        <v>0</v>
      </c>
      <c r="S83" s="87">
        <f t="shared" si="13"/>
        <v>0</v>
      </c>
    </row>
    <row r="84" spans="1:19" x14ac:dyDescent="0.25">
      <c r="A84" s="62">
        <v>79</v>
      </c>
      <c r="B84" s="89">
        <v>205</v>
      </c>
      <c r="C84" s="105" t="s">
        <v>202</v>
      </c>
      <c r="D84" s="89" t="s">
        <v>208</v>
      </c>
      <c r="E84" s="108" t="s">
        <v>323</v>
      </c>
      <c r="F84" s="110" t="s">
        <v>197</v>
      </c>
      <c r="G84" s="109">
        <v>16.62</v>
      </c>
      <c r="H84" s="87"/>
      <c r="I84" s="87"/>
      <c r="J84" s="89" t="s">
        <v>168</v>
      </c>
      <c r="K84" s="111">
        <v>2</v>
      </c>
      <c r="L84" s="87">
        <f>VLOOKUP(K84,Reinigungstage!$A$10:$B$31,2,FALSE)</f>
        <v>77.7</v>
      </c>
      <c r="M84" s="87">
        <f t="shared" si="9"/>
        <v>1291.3699999999999</v>
      </c>
      <c r="N84" s="91">
        <f>VLOOKUP(J84,'Lei Unter OS Nossen'!$A$6:$B$14,2,0)</f>
        <v>0</v>
      </c>
      <c r="O84" s="92" t="str">
        <f ca="1">'SVS UnterhaltsRG'!$H$61</f>
        <v/>
      </c>
      <c r="P84" s="87">
        <f t="shared" si="10"/>
        <v>0</v>
      </c>
      <c r="Q84" s="87">
        <f t="shared" si="11"/>
        <v>0</v>
      </c>
      <c r="R84" s="87">
        <f t="shared" si="12"/>
        <v>0</v>
      </c>
      <c r="S84" s="87">
        <f t="shared" si="13"/>
        <v>0</v>
      </c>
    </row>
    <row r="85" spans="1:19" x14ac:dyDescent="0.25">
      <c r="A85" s="62">
        <v>80</v>
      </c>
      <c r="B85" s="89">
        <v>206</v>
      </c>
      <c r="C85" s="105" t="s">
        <v>202</v>
      </c>
      <c r="D85" s="89" t="s">
        <v>208</v>
      </c>
      <c r="E85" s="108" t="s">
        <v>312</v>
      </c>
      <c r="F85" s="110" t="s">
        <v>197</v>
      </c>
      <c r="G85" s="109">
        <v>16.61</v>
      </c>
      <c r="H85" s="87"/>
      <c r="I85" s="87"/>
      <c r="J85" s="89" t="s">
        <v>168</v>
      </c>
      <c r="K85" s="111">
        <v>2</v>
      </c>
      <c r="L85" s="87">
        <f>VLOOKUP(K85,Reinigungstage!$A$10:$B$31,2,FALSE)</f>
        <v>77.7</v>
      </c>
      <c r="M85" s="87">
        <f t="shared" si="9"/>
        <v>1290.5999999999999</v>
      </c>
      <c r="N85" s="91">
        <f>VLOOKUP(J85,'Lei Unter OS Nossen'!$A$6:$B$14,2,0)</f>
        <v>0</v>
      </c>
      <c r="O85" s="92" t="str">
        <f ca="1">'SVS UnterhaltsRG'!$H$61</f>
        <v/>
      </c>
      <c r="P85" s="87">
        <f t="shared" si="10"/>
        <v>0</v>
      </c>
      <c r="Q85" s="87">
        <f t="shared" si="11"/>
        <v>0</v>
      </c>
      <c r="R85" s="87">
        <f t="shared" si="12"/>
        <v>0</v>
      </c>
      <c r="S85" s="87">
        <f t="shared" si="13"/>
        <v>0</v>
      </c>
    </row>
    <row r="86" spans="1:19" x14ac:dyDescent="0.25">
      <c r="A86" s="62">
        <v>81</v>
      </c>
      <c r="B86" s="89">
        <v>207</v>
      </c>
      <c r="C86" s="105" t="s">
        <v>202</v>
      </c>
      <c r="D86" s="89" t="s">
        <v>208</v>
      </c>
      <c r="E86" s="108" t="s">
        <v>298</v>
      </c>
      <c r="F86" s="110" t="s">
        <v>197</v>
      </c>
      <c r="G86" s="109">
        <v>74.27</v>
      </c>
      <c r="H86" s="87"/>
      <c r="I86" s="87"/>
      <c r="J86" s="89" t="s">
        <v>171</v>
      </c>
      <c r="K86" s="111">
        <v>5</v>
      </c>
      <c r="L86" s="87">
        <f>VLOOKUP(K86,Reinigungstage!$A$10:$B$31,2,FALSE)</f>
        <v>187</v>
      </c>
      <c r="M86" s="87">
        <f t="shared" si="9"/>
        <v>13888.49</v>
      </c>
      <c r="N86" s="91">
        <f>VLOOKUP(J86,'Lei Unter OS Nossen'!$A$6:$B$14,2,0)</f>
        <v>0</v>
      </c>
      <c r="O86" s="92" t="str">
        <f ca="1">'SVS UnterhaltsRG'!$H$61</f>
        <v/>
      </c>
      <c r="P86" s="87">
        <f t="shared" si="10"/>
        <v>0</v>
      </c>
      <c r="Q86" s="87">
        <f t="shared" si="11"/>
        <v>0</v>
      </c>
      <c r="R86" s="87">
        <f t="shared" si="12"/>
        <v>0</v>
      </c>
      <c r="S86" s="87">
        <f t="shared" si="13"/>
        <v>0</v>
      </c>
    </row>
    <row r="87" spans="1:19" x14ac:dyDescent="0.25">
      <c r="A87" s="62">
        <v>82</v>
      </c>
      <c r="B87" s="89">
        <v>208</v>
      </c>
      <c r="C87" s="105" t="s">
        <v>202</v>
      </c>
      <c r="D87" s="89" t="s">
        <v>208</v>
      </c>
      <c r="E87" s="108" t="s">
        <v>228</v>
      </c>
      <c r="F87" s="110" t="s">
        <v>197</v>
      </c>
      <c r="G87" s="109">
        <v>33.72</v>
      </c>
      <c r="H87" s="87"/>
      <c r="I87" s="87"/>
      <c r="J87" s="89" t="s">
        <v>168</v>
      </c>
      <c r="K87" s="111">
        <v>5</v>
      </c>
      <c r="L87" s="87">
        <f>VLOOKUP(K87,Reinigungstage!$A$10:$B$31,2,FALSE)</f>
        <v>187</v>
      </c>
      <c r="M87" s="87">
        <f t="shared" si="9"/>
        <v>6305.64</v>
      </c>
      <c r="N87" s="91">
        <f>VLOOKUP(J87,'Lei Unter OS Nossen'!$A$6:$B$14,2,0)</f>
        <v>0</v>
      </c>
      <c r="O87" s="92" t="str">
        <f ca="1">'SVS UnterhaltsRG'!$H$61</f>
        <v/>
      </c>
      <c r="P87" s="87">
        <f t="shared" si="10"/>
        <v>0</v>
      </c>
      <c r="Q87" s="87">
        <f t="shared" si="11"/>
        <v>0</v>
      </c>
      <c r="R87" s="87">
        <f t="shared" si="12"/>
        <v>0</v>
      </c>
      <c r="S87" s="87">
        <f t="shared" si="13"/>
        <v>0</v>
      </c>
    </row>
    <row r="88" spans="1:19" x14ac:dyDescent="0.25">
      <c r="A88" s="62">
        <v>83</v>
      </c>
      <c r="B88" s="89">
        <v>209</v>
      </c>
      <c r="C88" s="105" t="s">
        <v>202</v>
      </c>
      <c r="D88" s="89" t="s">
        <v>208</v>
      </c>
      <c r="E88" s="108" t="s">
        <v>237</v>
      </c>
      <c r="F88" s="110" t="s">
        <v>197</v>
      </c>
      <c r="G88" s="109">
        <v>32.18</v>
      </c>
      <c r="H88" s="87"/>
      <c r="I88" s="87"/>
      <c r="J88" s="89" t="s">
        <v>174</v>
      </c>
      <c r="K88" s="111">
        <v>5</v>
      </c>
      <c r="L88" s="87">
        <f>VLOOKUP(K88,Reinigungstage!$A$10:$B$31,2,FALSE)</f>
        <v>187</v>
      </c>
      <c r="M88" s="87">
        <f t="shared" si="9"/>
        <v>6017.66</v>
      </c>
      <c r="N88" s="91">
        <f>VLOOKUP(J88,'Lei Unter OS Nossen'!$A$6:$B$14,2,0)</f>
        <v>0</v>
      </c>
      <c r="O88" s="92" t="str">
        <f ca="1">'SVS UnterhaltsRG'!$H$61</f>
        <v/>
      </c>
      <c r="P88" s="87">
        <f t="shared" si="10"/>
        <v>0</v>
      </c>
      <c r="Q88" s="87">
        <f t="shared" si="11"/>
        <v>0</v>
      </c>
      <c r="R88" s="87">
        <f t="shared" si="12"/>
        <v>0</v>
      </c>
      <c r="S88" s="87">
        <f t="shared" si="13"/>
        <v>0</v>
      </c>
    </row>
    <row r="89" spans="1:19" x14ac:dyDescent="0.25">
      <c r="A89" s="62">
        <v>84</v>
      </c>
      <c r="B89" s="89">
        <v>210</v>
      </c>
      <c r="C89" s="105" t="s">
        <v>202</v>
      </c>
      <c r="D89" s="89" t="s">
        <v>208</v>
      </c>
      <c r="E89" s="108" t="s">
        <v>313</v>
      </c>
      <c r="F89" s="110" t="s">
        <v>197</v>
      </c>
      <c r="G89" s="109">
        <v>16.5</v>
      </c>
      <c r="H89" s="87"/>
      <c r="I89" s="87"/>
      <c r="J89" s="89" t="s">
        <v>168</v>
      </c>
      <c r="K89" s="111">
        <v>2</v>
      </c>
      <c r="L89" s="87">
        <f>VLOOKUP(K89,Reinigungstage!$A$10:$B$31,2,FALSE)</f>
        <v>77.7</v>
      </c>
      <c r="M89" s="87">
        <f t="shared" si="9"/>
        <v>1282.05</v>
      </c>
      <c r="N89" s="91">
        <f>VLOOKUP(J89,'Lei Unter OS Nossen'!$A$6:$B$14,2,0)</f>
        <v>0</v>
      </c>
      <c r="O89" s="92" t="str">
        <f ca="1">'SVS UnterhaltsRG'!$H$61</f>
        <v/>
      </c>
      <c r="P89" s="87">
        <f t="shared" si="10"/>
        <v>0</v>
      </c>
      <c r="Q89" s="87">
        <f t="shared" si="11"/>
        <v>0</v>
      </c>
      <c r="R89" s="87">
        <f t="shared" si="12"/>
        <v>0</v>
      </c>
      <c r="S89" s="87">
        <f t="shared" si="13"/>
        <v>0</v>
      </c>
    </row>
    <row r="90" spans="1:19" x14ac:dyDescent="0.25">
      <c r="A90" s="62">
        <v>85</v>
      </c>
      <c r="B90" s="89">
        <v>211</v>
      </c>
      <c r="C90" s="105" t="s">
        <v>202</v>
      </c>
      <c r="D90" s="89" t="s">
        <v>208</v>
      </c>
      <c r="E90" s="108" t="s">
        <v>314</v>
      </c>
      <c r="F90" s="110" t="s">
        <v>197</v>
      </c>
      <c r="G90" s="109">
        <v>16.62</v>
      </c>
      <c r="H90" s="87"/>
      <c r="I90" s="87"/>
      <c r="J90" s="89" t="s">
        <v>173</v>
      </c>
      <c r="K90" s="111">
        <v>5</v>
      </c>
      <c r="L90" s="87">
        <f>VLOOKUP(K90,Reinigungstage!$A$10:$B$31,2,FALSE)</f>
        <v>187</v>
      </c>
      <c r="M90" s="87">
        <f t="shared" si="9"/>
        <v>3107.94</v>
      </c>
      <c r="N90" s="91">
        <f>VLOOKUP(J90,'Lei Unter OS Nossen'!$A$6:$B$14,2,0)</f>
        <v>0</v>
      </c>
      <c r="O90" s="92" t="str">
        <f ca="1">'SVS UnterhaltsRG'!$H$61</f>
        <v/>
      </c>
      <c r="P90" s="87">
        <f t="shared" si="10"/>
        <v>0</v>
      </c>
      <c r="Q90" s="87">
        <f t="shared" si="11"/>
        <v>0</v>
      </c>
      <c r="R90" s="87">
        <f t="shared" si="12"/>
        <v>0</v>
      </c>
      <c r="S90" s="87">
        <f t="shared" si="13"/>
        <v>0</v>
      </c>
    </row>
    <row r="91" spans="1:19" x14ac:dyDescent="0.25">
      <c r="A91" s="62">
        <v>86</v>
      </c>
      <c r="B91" s="89">
        <v>212</v>
      </c>
      <c r="C91" s="105" t="s">
        <v>202</v>
      </c>
      <c r="D91" s="89" t="s">
        <v>208</v>
      </c>
      <c r="E91" s="108" t="s">
        <v>315</v>
      </c>
      <c r="F91" s="110" t="s">
        <v>197</v>
      </c>
      <c r="G91" s="109">
        <v>16.399999999999999</v>
      </c>
      <c r="H91" s="87"/>
      <c r="I91" s="87"/>
      <c r="J91" s="89" t="s">
        <v>168</v>
      </c>
      <c r="K91" s="111">
        <v>5</v>
      </c>
      <c r="L91" s="87">
        <f>VLOOKUP(K91,Reinigungstage!$A$10:$B$31,2,FALSE)</f>
        <v>187</v>
      </c>
      <c r="M91" s="87">
        <f t="shared" si="9"/>
        <v>3066.8</v>
      </c>
      <c r="N91" s="91">
        <f>VLOOKUP(J91,'Lei Unter OS Nossen'!$A$6:$B$14,2,0)</f>
        <v>0</v>
      </c>
      <c r="O91" s="92" t="str">
        <f ca="1">'SVS UnterhaltsRG'!$H$61</f>
        <v/>
      </c>
      <c r="P91" s="87">
        <f t="shared" si="10"/>
        <v>0</v>
      </c>
      <c r="Q91" s="87">
        <f t="shared" si="11"/>
        <v>0</v>
      </c>
      <c r="R91" s="87">
        <f t="shared" si="12"/>
        <v>0</v>
      </c>
      <c r="S91" s="87">
        <f t="shared" si="13"/>
        <v>0</v>
      </c>
    </row>
    <row r="92" spans="1:19" x14ac:dyDescent="0.25">
      <c r="A92" s="62">
        <v>87</v>
      </c>
      <c r="B92" s="89">
        <v>213</v>
      </c>
      <c r="C92" s="105" t="s">
        <v>202</v>
      </c>
      <c r="D92" s="89" t="s">
        <v>208</v>
      </c>
      <c r="E92" s="108" t="s">
        <v>288</v>
      </c>
      <c r="F92" s="110" t="s">
        <v>197</v>
      </c>
      <c r="G92" s="109">
        <v>43.35</v>
      </c>
      <c r="H92" s="87"/>
      <c r="I92" s="87"/>
      <c r="J92" s="89" t="s">
        <v>171</v>
      </c>
      <c r="K92" s="111">
        <v>5</v>
      </c>
      <c r="L92" s="87">
        <f>VLOOKUP(K92,Reinigungstage!$A$10:$B$31,2,FALSE)</f>
        <v>187</v>
      </c>
      <c r="M92" s="87">
        <f t="shared" si="9"/>
        <v>8106.45</v>
      </c>
      <c r="N92" s="91">
        <f>VLOOKUP(J92,'Lei Unter OS Nossen'!$A$6:$B$14,2,0)</f>
        <v>0</v>
      </c>
      <c r="O92" s="92" t="str">
        <f ca="1">'SVS UnterhaltsRG'!$H$61</f>
        <v/>
      </c>
      <c r="P92" s="87">
        <f t="shared" si="10"/>
        <v>0</v>
      </c>
      <c r="Q92" s="87">
        <f t="shared" si="11"/>
        <v>0</v>
      </c>
      <c r="R92" s="87">
        <f t="shared" si="12"/>
        <v>0</v>
      </c>
      <c r="S92" s="87">
        <f t="shared" si="13"/>
        <v>0</v>
      </c>
    </row>
    <row r="93" spans="1:19" x14ac:dyDescent="0.25">
      <c r="A93" s="62">
        <v>88</v>
      </c>
      <c r="B93" s="89">
        <v>214</v>
      </c>
      <c r="C93" s="105" t="s">
        <v>202</v>
      </c>
      <c r="D93" s="89" t="s">
        <v>208</v>
      </c>
      <c r="E93" s="108" t="s">
        <v>325</v>
      </c>
      <c r="F93" s="110" t="s">
        <v>197</v>
      </c>
      <c r="G93" s="109">
        <v>76.459999999999994</v>
      </c>
      <c r="H93" s="87"/>
      <c r="I93" s="87"/>
      <c r="J93" s="89" t="s">
        <v>168</v>
      </c>
      <c r="K93" s="111">
        <v>3</v>
      </c>
      <c r="L93" s="87">
        <f>VLOOKUP(K93,Reinigungstage!$A$10:$B$31,2,FALSE)</f>
        <v>112.2</v>
      </c>
      <c r="M93" s="87">
        <f t="shared" si="9"/>
        <v>8578.81</v>
      </c>
      <c r="N93" s="91">
        <f>VLOOKUP(J93,'Lei Unter OS Nossen'!$A$6:$B$14,2,0)</f>
        <v>0</v>
      </c>
      <c r="O93" s="92" t="str">
        <f ca="1">'SVS UnterhaltsRG'!$H$61</f>
        <v/>
      </c>
      <c r="P93" s="87">
        <f t="shared" si="10"/>
        <v>0</v>
      </c>
      <c r="Q93" s="87">
        <f t="shared" si="11"/>
        <v>0</v>
      </c>
      <c r="R93" s="87">
        <f t="shared" si="12"/>
        <v>0</v>
      </c>
      <c r="S93" s="87">
        <f t="shared" si="13"/>
        <v>0</v>
      </c>
    </row>
    <row r="94" spans="1:19" x14ac:dyDescent="0.25">
      <c r="A94" s="62">
        <v>89</v>
      </c>
      <c r="B94" s="89">
        <v>215</v>
      </c>
      <c r="C94" s="105" t="s">
        <v>202</v>
      </c>
      <c r="D94" s="89" t="s">
        <v>208</v>
      </c>
      <c r="E94" s="108" t="s">
        <v>237</v>
      </c>
      <c r="F94" s="110" t="s">
        <v>197</v>
      </c>
      <c r="G94" s="109">
        <v>37.31</v>
      </c>
      <c r="H94" s="87"/>
      <c r="I94" s="87"/>
      <c r="J94" s="89" t="s">
        <v>174</v>
      </c>
      <c r="K94" s="111">
        <v>5</v>
      </c>
      <c r="L94" s="87">
        <f>VLOOKUP(K94,Reinigungstage!$A$10:$B$31,2,FALSE)</f>
        <v>187</v>
      </c>
      <c r="M94" s="87">
        <f t="shared" si="9"/>
        <v>6976.97</v>
      </c>
      <c r="N94" s="91">
        <f>VLOOKUP(J94,'Lei Unter OS Nossen'!$A$6:$B$14,2,0)</f>
        <v>0</v>
      </c>
      <c r="O94" s="92" t="str">
        <f ca="1">'SVS UnterhaltsRG'!$H$61</f>
        <v/>
      </c>
      <c r="P94" s="87">
        <f t="shared" si="10"/>
        <v>0</v>
      </c>
      <c r="Q94" s="87">
        <f t="shared" si="11"/>
        <v>0</v>
      </c>
      <c r="R94" s="87">
        <f t="shared" si="12"/>
        <v>0</v>
      </c>
      <c r="S94" s="87">
        <f t="shared" si="13"/>
        <v>0</v>
      </c>
    </row>
    <row r="95" spans="1:19" x14ac:dyDescent="0.25">
      <c r="A95" s="62">
        <v>90</v>
      </c>
      <c r="B95" s="89">
        <v>216</v>
      </c>
      <c r="C95" s="105" t="s">
        <v>202</v>
      </c>
      <c r="D95" s="89" t="s">
        <v>208</v>
      </c>
      <c r="E95" s="108" t="s">
        <v>316</v>
      </c>
      <c r="F95" s="110" t="s">
        <v>197</v>
      </c>
      <c r="G95" s="109">
        <v>17.73</v>
      </c>
      <c r="H95" s="87"/>
      <c r="I95" s="87"/>
      <c r="J95" s="89" t="s">
        <v>168</v>
      </c>
      <c r="K95" s="111">
        <v>2</v>
      </c>
      <c r="L95" s="87">
        <f>VLOOKUP(K95,Reinigungstage!$A$10:$B$31,2,FALSE)</f>
        <v>77.7</v>
      </c>
      <c r="M95" s="87">
        <f t="shared" si="9"/>
        <v>1377.62</v>
      </c>
      <c r="N95" s="91">
        <f>VLOOKUP(J95,'Lei Unter OS Nossen'!$A$6:$B$14,2,0)</f>
        <v>0</v>
      </c>
      <c r="O95" s="92" t="str">
        <f ca="1">'SVS UnterhaltsRG'!$H$61</f>
        <v/>
      </c>
      <c r="P95" s="87">
        <f t="shared" si="10"/>
        <v>0</v>
      </c>
      <c r="Q95" s="87">
        <f t="shared" si="11"/>
        <v>0</v>
      </c>
      <c r="R95" s="87">
        <f t="shared" si="12"/>
        <v>0</v>
      </c>
      <c r="S95" s="87">
        <f t="shared" si="13"/>
        <v>0</v>
      </c>
    </row>
    <row r="96" spans="1:19" x14ac:dyDescent="0.25">
      <c r="A96" s="62">
        <v>91</v>
      </c>
      <c r="B96" s="89">
        <v>217</v>
      </c>
      <c r="C96" s="105" t="s">
        <v>202</v>
      </c>
      <c r="D96" s="89" t="s">
        <v>208</v>
      </c>
      <c r="E96" s="108" t="s">
        <v>317</v>
      </c>
      <c r="F96" s="110" t="s">
        <v>197</v>
      </c>
      <c r="G96" s="109">
        <v>50.54</v>
      </c>
      <c r="H96" s="87"/>
      <c r="I96" s="87"/>
      <c r="J96" s="89" t="s">
        <v>173</v>
      </c>
      <c r="K96" s="111">
        <v>5</v>
      </c>
      <c r="L96" s="87">
        <f>VLOOKUP(K96,Reinigungstage!$A$10:$B$31,2,FALSE)</f>
        <v>187</v>
      </c>
      <c r="M96" s="87">
        <f t="shared" si="9"/>
        <v>9450.98</v>
      </c>
      <c r="N96" s="91">
        <f>VLOOKUP(J96,'Lei Unter OS Nossen'!$A$6:$B$14,2,0)</f>
        <v>0</v>
      </c>
      <c r="O96" s="92" t="str">
        <f ca="1">'SVS UnterhaltsRG'!$H$61</f>
        <v/>
      </c>
      <c r="P96" s="87">
        <f t="shared" si="10"/>
        <v>0</v>
      </c>
      <c r="Q96" s="87">
        <f t="shared" si="11"/>
        <v>0</v>
      </c>
      <c r="R96" s="87">
        <f t="shared" si="12"/>
        <v>0</v>
      </c>
      <c r="S96" s="87">
        <f t="shared" si="13"/>
        <v>0</v>
      </c>
    </row>
    <row r="97" spans="1:19" x14ac:dyDescent="0.25">
      <c r="A97" s="62">
        <v>92</v>
      </c>
      <c r="B97" s="89">
        <v>218</v>
      </c>
      <c r="C97" s="105" t="s">
        <v>202</v>
      </c>
      <c r="D97" s="89" t="s">
        <v>208</v>
      </c>
      <c r="E97" s="108" t="s">
        <v>317</v>
      </c>
      <c r="F97" s="110" t="s">
        <v>197</v>
      </c>
      <c r="G97" s="109">
        <v>50.54</v>
      </c>
      <c r="H97" s="87"/>
      <c r="I97" s="87"/>
      <c r="J97" s="89" t="s">
        <v>173</v>
      </c>
      <c r="K97" s="111">
        <v>5</v>
      </c>
      <c r="L97" s="87">
        <f>VLOOKUP(K97,Reinigungstage!$A$10:$B$31,2,FALSE)</f>
        <v>187</v>
      </c>
      <c r="M97" s="87">
        <f t="shared" si="9"/>
        <v>9450.98</v>
      </c>
      <c r="N97" s="91">
        <f>VLOOKUP(J97,'Lei Unter OS Nossen'!$A$6:$B$14,2,0)</f>
        <v>0</v>
      </c>
      <c r="O97" s="92" t="str">
        <f ca="1">'SVS UnterhaltsRG'!$H$61</f>
        <v/>
      </c>
      <c r="P97" s="87">
        <f t="shared" si="10"/>
        <v>0</v>
      </c>
      <c r="Q97" s="87">
        <f t="shared" si="11"/>
        <v>0</v>
      </c>
      <c r="R97" s="87">
        <f t="shared" si="12"/>
        <v>0</v>
      </c>
      <c r="S97" s="87">
        <f t="shared" si="13"/>
        <v>0</v>
      </c>
    </row>
    <row r="98" spans="1:19" x14ac:dyDescent="0.25">
      <c r="A98" s="62">
        <v>93</v>
      </c>
      <c r="B98" s="89">
        <v>219</v>
      </c>
      <c r="C98" s="105" t="s">
        <v>202</v>
      </c>
      <c r="D98" s="89" t="s">
        <v>208</v>
      </c>
      <c r="E98" s="108" t="s">
        <v>318</v>
      </c>
      <c r="F98" s="110" t="s">
        <v>197</v>
      </c>
      <c r="G98" s="109">
        <v>50.54</v>
      </c>
      <c r="H98" s="87"/>
      <c r="I98" s="87"/>
      <c r="J98" s="89" t="s">
        <v>173</v>
      </c>
      <c r="K98" s="111">
        <v>5</v>
      </c>
      <c r="L98" s="87">
        <f>VLOOKUP(K98,Reinigungstage!$A$10:$B$31,2,FALSE)</f>
        <v>187</v>
      </c>
      <c r="M98" s="87">
        <f t="shared" si="9"/>
        <v>9450.98</v>
      </c>
      <c r="N98" s="91">
        <f>VLOOKUP(J98,'Lei Unter OS Nossen'!$A$6:$B$14,2,0)</f>
        <v>0</v>
      </c>
      <c r="O98" s="92" t="str">
        <f ca="1">'SVS UnterhaltsRG'!$H$61</f>
        <v/>
      </c>
      <c r="P98" s="87">
        <f t="shared" si="10"/>
        <v>0</v>
      </c>
      <c r="Q98" s="87">
        <f t="shared" si="11"/>
        <v>0</v>
      </c>
      <c r="R98" s="87">
        <f t="shared" si="12"/>
        <v>0</v>
      </c>
      <c r="S98" s="87">
        <f t="shared" si="13"/>
        <v>0</v>
      </c>
    </row>
    <row r="99" spans="1:19" x14ac:dyDescent="0.25">
      <c r="A99" s="62">
        <v>94</v>
      </c>
      <c r="B99" s="89">
        <v>220</v>
      </c>
      <c r="C99" s="105" t="s">
        <v>202</v>
      </c>
      <c r="D99" s="89" t="s">
        <v>208</v>
      </c>
      <c r="E99" s="108" t="s">
        <v>319</v>
      </c>
      <c r="F99" s="110" t="s">
        <v>197</v>
      </c>
      <c r="G99" s="109">
        <v>17.73</v>
      </c>
      <c r="H99" s="87"/>
      <c r="I99" s="87"/>
      <c r="J99" s="89" t="s">
        <v>168</v>
      </c>
      <c r="K99" s="111">
        <v>2</v>
      </c>
      <c r="L99" s="87">
        <f>VLOOKUP(K99,Reinigungstage!$A$10:$B$31,2,FALSE)</f>
        <v>77.7</v>
      </c>
      <c r="M99" s="87">
        <f t="shared" si="9"/>
        <v>1377.62</v>
      </c>
      <c r="N99" s="91">
        <f>VLOOKUP(J99,'Lei Unter OS Nossen'!$A$6:$B$14,2,0)</f>
        <v>0</v>
      </c>
      <c r="O99" s="92" t="str">
        <f ca="1">'SVS UnterhaltsRG'!$H$61</f>
        <v/>
      </c>
      <c r="P99" s="87">
        <f t="shared" si="10"/>
        <v>0</v>
      </c>
      <c r="Q99" s="87">
        <f t="shared" si="11"/>
        <v>0</v>
      </c>
      <c r="R99" s="87">
        <f t="shared" si="12"/>
        <v>0</v>
      </c>
      <c r="S99" s="87">
        <f t="shared" si="13"/>
        <v>0</v>
      </c>
    </row>
    <row r="100" spans="1:19" x14ac:dyDescent="0.25">
      <c r="A100" s="62">
        <v>95</v>
      </c>
      <c r="B100" s="89">
        <v>221</v>
      </c>
      <c r="C100" s="105" t="s">
        <v>202</v>
      </c>
      <c r="D100" s="89" t="s">
        <v>208</v>
      </c>
      <c r="E100" s="108" t="s">
        <v>237</v>
      </c>
      <c r="F100" s="110" t="s">
        <v>197</v>
      </c>
      <c r="G100" s="109">
        <v>36.630000000000003</v>
      </c>
      <c r="H100" s="87"/>
      <c r="I100" s="87"/>
      <c r="J100" s="89" t="s">
        <v>174</v>
      </c>
      <c r="K100" s="111">
        <v>5</v>
      </c>
      <c r="L100" s="87">
        <f>VLOOKUP(K100,Reinigungstage!$A$10:$B$31,2,FALSE)</f>
        <v>187</v>
      </c>
      <c r="M100" s="87">
        <f t="shared" si="9"/>
        <v>6849.81</v>
      </c>
      <c r="N100" s="91">
        <f>VLOOKUP(J100,'Lei Unter OS Nossen'!$A$6:$B$14,2,0)</f>
        <v>0</v>
      </c>
      <c r="O100" s="92" t="str">
        <f ca="1">'SVS UnterhaltsRG'!$H$61</f>
        <v/>
      </c>
      <c r="P100" s="87">
        <f t="shared" si="10"/>
        <v>0</v>
      </c>
      <c r="Q100" s="87">
        <f t="shared" si="11"/>
        <v>0</v>
      </c>
      <c r="R100" s="87">
        <f t="shared" si="12"/>
        <v>0</v>
      </c>
      <c r="S100" s="87">
        <f t="shared" si="13"/>
        <v>0</v>
      </c>
    </row>
    <row r="101" spans="1:19" x14ac:dyDescent="0.25">
      <c r="A101" s="62">
        <v>96</v>
      </c>
      <c r="B101" s="89">
        <v>222</v>
      </c>
      <c r="C101" s="105" t="s">
        <v>202</v>
      </c>
      <c r="D101" s="89" t="s">
        <v>208</v>
      </c>
      <c r="E101" s="108" t="s">
        <v>318</v>
      </c>
      <c r="F101" s="110" t="s">
        <v>197</v>
      </c>
      <c r="G101" s="109">
        <v>50.54</v>
      </c>
      <c r="H101" s="87"/>
      <c r="I101" s="87"/>
      <c r="J101" s="89" t="s">
        <v>173</v>
      </c>
      <c r="K101" s="111">
        <v>5</v>
      </c>
      <c r="L101" s="87">
        <f>VLOOKUP(K101,Reinigungstage!$A$10:$B$31,2,FALSE)</f>
        <v>187</v>
      </c>
      <c r="M101" s="87">
        <f t="shared" si="9"/>
        <v>9450.98</v>
      </c>
      <c r="N101" s="91">
        <f>VLOOKUP(J101,'Lei Unter OS Nossen'!$A$6:$B$14,2,0)</f>
        <v>0</v>
      </c>
      <c r="O101" s="92" t="str">
        <f ca="1">'SVS UnterhaltsRG'!$H$61</f>
        <v/>
      </c>
      <c r="P101" s="87">
        <f t="shared" si="10"/>
        <v>0</v>
      </c>
      <c r="Q101" s="87">
        <f t="shared" si="11"/>
        <v>0</v>
      </c>
      <c r="R101" s="87">
        <f t="shared" si="12"/>
        <v>0</v>
      </c>
      <c r="S101" s="87">
        <f t="shared" si="13"/>
        <v>0</v>
      </c>
    </row>
    <row r="102" spans="1:19" x14ac:dyDescent="0.25">
      <c r="A102" s="62">
        <v>97</v>
      </c>
      <c r="B102" s="89">
        <v>223</v>
      </c>
      <c r="C102" s="105" t="s">
        <v>202</v>
      </c>
      <c r="D102" s="89" t="s">
        <v>208</v>
      </c>
      <c r="E102" s="108" t="s">
        <v>320</v>
      </c>
      <c r="F102" s="110" t="s">
        <v>197</v>
      </c>
      <c r="G102" s="109">
        <v>50.54</v>
      </c>
      <c r="H102" s="87"/>
      <c r="I102" s="87"/>
      <c r="J102" s="89" t="s">
        <v>173</v>
      </c>
      <c r="K102" s="111">
        <v>5</v>
      </c>
      <c r="L102" s="87">
        <f>VLOOKUP(K102,Reinigungstage!$A$10:$B$31,2,FALSE)</f>
        <v>187</v>
      </c>
      <c r="M102" s="87">
        <f t="shared" si="9"/>
        <v>9450.98</v>
      </c>
      <c r="N102" s="91">
        <f>VLOOKUP(J102,'Lei Unter OS Nossen'!$A$6:$B$14,2,0)</f>
        <v>0</v>
      </c>
      <c r="O102" s="92" t="str">
        <f ca="1">'SVS UnterhaltsRG'!$H$61</f>
        <v/>
      </c>
      <c r="P102" s="87">
        <f t="shared" si="10"/>
        <v>0</v>
      </c>
      <c r="Q102" s="87">
        <f t="shared" si="11"/>
        <v>0</v>
      </c>
      <c r="R102" s="87">
        <f t="shared" si="12"/>
        <v>0</v>
      </c>
      <c r="S102" s="87">
        <f t="shared" si="13"/>
        <v>0</v>
      </c>
    </row>
    <row r="103" spans="1:19" x14ac:dyDescent="0.25">
      <c r="A103" s="62">
        <v>98</v>
      </c>
      <c r="B103" s="89">
        <v>224</v>
      </c>
      <c r="C103" s="105" t="s">
        <v>202</v>
      </c>
      <c r="D103" s="89" t="s">
        <v>208</v>
      </c>
      <c r="E103" s="108" t="s">
        <v>321</v>
      </c>
      <c r="F103" s="110" t="s">
        <v>197</v>
      </c>
      <c r="G103" s="109">
        <v>17.73</v>
      </c>
      <c r="H103" s="87"/>
      <c r="I103" s="87"/>
      <c r="J103" s="89" t="s">
        <v>168</v>
      </c>
      <c r="K103" s="111">
        <v>2</v>
      </c>
      <c r="L103" s="87">
        <f>VLOOKUP(K103,Reinigungstage!$A$10:$B$31,2,FALSE)</f>
        <v>77.7</v>
      </c>
      <c r="M103" s="87">
        <f t="shared" si="9"/>
        <v>1377.62</v>
      </c>
      <c r="N103" s="91">
        <f>VLOOKUP(J103,'Lei Unter OS Nossen'!$A$6:$B$14,2,0)</f>
        <v>0</v>
      </c>
      <c r="O103" s="92" t="str">
        <f ca="1">'SVS UnterhaltsRG'!$H$61</f>
        <v/>
      </c>
      <c r="P103" s="87">
        <f t="shared" si="10"/>
        <v>0</v>
      </c>
      <c r="Q103" s="87">
        <f t="shared" si="11"/>
        <v>0</v>
      </c>
      <c r="R103" s="87">
        <f t="shared" si="12"/>
        <v>0</v>
      </c>
      <c r="S103" s="87">
        <f t="shared" si="13"/>
        <v>0</v>
      </c>
    </row>
    <row r="104" spans="1:19" x14ac:dyDescent="0.25">
      <c r="A104" s="62">
        <v>99</v>
      </c>
      <c r="B104" s="89">
        <v>225</v>
      </c>
      <c r="C104" s="105" t="s">
        <v>202</v>
      </c>
      <c r="D104" s="89" t="s">
        <v>208</v>
      </c>
      <c r="E104" s="108" t="s">
        <v>237</v>
      </c>
      <c r="F104" s="110" t="s">
        <v>197</v>
      </c>
      <c r="G104" s="109">
        <v>36.94</v>
      </c>
      <c r="H104" s="87"/>
      <c r="I104" s="87"/>
      <c r="J104" s="89" t="s">
        <v>174</v>
      </c>
      <c r="K104" s="111">
        <v>5</v>
      </c>
      <c r="L104" s="87">
        <f>VLOOKUP(K104,Reinigungstage!$A$10:$B$31,2,FALSE)</f>
        <v>187</v>
      </c>
      <c r="M104" s="87">
        <f t="shared" si="9"/>
        <v>6907.78</v>
      </c>
      <c r="N104" s="91">
        <f>VLOOKUP(J104,'Lei Unter OS Nossen'!$A$6:$B$14,2,0)</f>
        <v>0</v>
      </c>
      <c r="O104" s="92" t="str">
        <f ca="1">'SVS UnterhaltsRG'!$H$61</f>
        <v/>
      </c>
      <c r="P104" s="87">
        <f t="shared" si="10"/>
        <v>0</v>
      </c>
      <c r="Q104" s="87">
        <f t="shared" si="11"/>
        <v>0</v>
      </c>
      <c r="R104" s="87">
        <f t="shared" si="12"/>
        <v>0</v>
      </c>
      <c r="S104" s="87">
        <f t="shared" si="13"/>
        <v>0</v>
      </c>
    </row>
    <row r="105" spans="1:19" x14ac:dyDescent="0.25">
      <c r="A105" s="62">
        <v>100</v>
      </c>
      <c r="B105" s="89">
        <v>226</v>
      </c>
      <c r="C105" s="105" t="s">
        <v>202</v>
      </c>
      <c r="D105" s="89" t="s">
        <v>208</v>
      </c>
      <c r="E105" s="108" t="s">
        <v>322</v>
      </c>
      <c r="F105" s="110" t="s">
        <v>197</v>
      </c>
      <c r="G105" s="109">
        <v>50.54</v>
      </c>
      <c r="H105" s="87"/>
      <c r="I105" s="87"/>
      <c r="J105" s="89" t="s">
        <v>173</v>
      </c>
      <c r="K105" s="111">
        <v>5</v>
      </c>
      <c r="L105" s="87">
        <f>VLOOKUP(K105,Reinigungstage!$A$10:$B$31,2,FALSE)</f>
        <v>187</v>
      </c>
      <c r="M105" s="87">
        <f t="shared" si="9"/>
        <v>9450.98</v>
      </c>
      <c r="N105" s="91">
        <f>VLOOKUP(J105,'Lei Unter OS Nossen'!$A$6:$B$14,2,0)</f>
        <v>0</v>
      </c>
      <c r="O105" s="92" t="str">
        <f ca="1">'SVS UnterhaltsRG'!$H$61</f>
        <v/>
      </c>
      <c r="P105" s="87">
        <f t="shared" si="10"/>
        <v>0</v>
      </c>
      <c r="Q105" s="87">
        <f t="shared" si="11"/>
        <v>0</v>
      </c>
      <c r="R105" s="87">
        <f t="shared" si="12"/>
        <v>0</v>
      </c>
      <c r="S105" s="87">
        <f t="shared" si="13"/>
        <v>0</v>
      </c>
    </row>
  </sheetData>
  <sheetProtection algorithmName="SHA-512" hashValue="jbe+cl5/vu5my8A/4FNJ+o9EZ55DkdrAaD6hBdhiRcvIrRw8+kKPQ1okx03RzFLYB/ybB9YejFzTTjwV91ZvsA==" saltValue="j8NFwdVwaOGLomC3VLuGIg==" spinCount="100000" sheet="1" objects="1" scenarios="1" formatCells="0" formatColumns="0" formatRows="0" insertColumns="0" insertRows="0" insertHyperlinks="0" deleteColumns="0" deleteRows="0"/>
  <phoneticPr fontId="20" type="noConversion"/>
  <hyperlinks>
    <hyperlink ref="M1" location="Inhaltsverzeichnis!A1" display="Zurück zum Inhaltsverzeichnis" xr:uid="{4BB0BC66-9DF6-4C40-AD4C-32023CB516EB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564F-918D-4130-9E78-181CB2D780D5}">
  <dimension ref="A1:H11"/>
  <sheetViews>
    <sheetView workbookViewId="0">
      <selection activeCell="C6" sqref="C6:C11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161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162</v>
      </c>
      <c r="B3" s="76" t="s">
        <v>413</v>
      </c>
      <c r="C3" s="76"/>
      <c r="D3" s="14"/>
      <c r="E3" s="14"/>
      <c r="F3" s="14"/>
      <c r="G3" s="14"/>
      <c r="H3" s="14"/>
    </row>
    <row r="4" spans="1:8" ht="51" customHeight="1" x14ac:dyDescent="0.25">
      <c r="A4" s="130" t="s">
        <v>163</v>
      </c>
      <c r="B4" s="130"/>
      <c r="C4" s="130"/>
      <c r="D4" s="14"/>
      <c r="E4" s="14"/>
      <c r="F4" s="14"/>
      <c r="G4" s="14"/>
      <c r="H4" s="14"/>
    </row>
    <row r="5" spans="1:8" x14ac:dyDescent="0.25">
      <c r="A5" s="77" t="s">
        <v>164</v>
      </c>
      <c r="B5" s="77" t="s">
        <v>165</v>
      </c>
      <c r="C5" s="77" t="s">
        <v>166</v>
      </c>
      <c r="D5" s="14"/>
      <c r="E5" s="14"/>
      <c r="F5" s="14"/>
      <c r="G5" s="14"/>
      <c r="H5" s="14"/>
    </row>
    <row r="6" spans="1:8" x14ac:dyDescent="0.25">
      <c r="A6" s="81" t="s">
        <v>170</v>
      </c>
      <c r="B6" s="79"/>
      <c r="C6" s="80">
        <f ca="1">SUMIF('Kal Unter TH OS Nossen'!J6:M62,$A$6,'Kal Unter TH OS Nossen'!M6:M62)</f>
        <v>771.26</v>
      </c>
      <c r="D6" s="14"/>
      <c r="E6" s="14"/>
      <c r="F6" s="14"/>
      <c r="G6" s="14"/>
      <c r="H6" s="14"/>
    </row>
    <row r="7" spans="1:8" x14ac:dyDescent="0.25">
      <c r="A7" s="81" t="s">
        <v>174</v>
      </c>
      <c r="B7" s="79"/>
      <c r="C7" s="80">
        <f ca="1">SUMIF('Kal Unter TH OS Nossen'!J6:M62,$A$7,'Kal Unter TH OS Nossen'!M6:M62)</f>
        <v>17346.12</v>
      </c>
      <c r="D7" s="14"/>
      <c r="E7" s="14"/>
      <c r="F7" s="14"/>
      <c r="G7" s="14"/>
      <c r="H7" s="14"/>
    </row>
    <row r="8" spans="1:8" x14ac:dyDescent="0.25">
      <c r="A8" s="81" t="s">
        <v>168</v>
      </c>
      <c r="B8" s="79"/>
      <c r="C8" s="80">
        <f ca="1">SUMIF('Kal Unter TH OS Nossen'!J6:M62,$A$8,'Kal Unter TH OS Nossen'!M6:M62)</f>
        <v>1408.11</v>
      </c>
      <c r="D8" s="14"/>
      <c r="E8" s="14"/>
      <c r="F8" s="14"/>
      <c r="G8" s="14"/>
      <c r="H8" s="14"/>
    </row>
    <row r="9" spans="1:8" x14ac:dyDescent="0.25">
      <c r="A9" s="81" t="s">
        <v>169</v>
      </c>
      <c r="B9" s="79"/>
      <c r="C9" s="80">
        <f ca="1">SUMIF('Kal Unter TH OS Nossen'!J6:M62,$A$9,'Kal Unter TH OS Nossen'!M6:M62)</f>
        <v>12641.200000000003</v>
      </c>
      <c r="D9" s="14"/>
      <c r="E9" s="14"/>
      <c r="F9" s="14"/>
      <c r="G9" s="14"/>
      <c r="H9" s="14"/>
    </row>
    <row r="10" spans="1:8" x14ac:dyDescent="0.25">
      <c r="A10" s="81" t="s">
        <v>172</v>
      </c>
      <c r="B10" s="79"/>
      <c r="C10" s="80">
        <f ca="1">SUMIF('Kal Unter TH OS Nossen'!J6:M62,$A$10,'Kal Unter TH OS Nossen'!M6:M62)</f>
        <v>17411.57</v>
      </c>
      <c r="D10" s="14"/>
      <c r="E10" s="14"/>
      <c r="F10" s="14"/>
      <c r="G10" s="14"/>
      <c r="H10" s="14"/>
    </row>
    <row r="11" spans="1:8" x14ac:dyDescent="0.25">
      <c r="A11" s="81" t="s">
        <v>409</v>
      </c>
      <c r="B11" s="79"/>
      <c r="C11" s="80">
        <f ca="1">SUMIF('Kal Unter TH OS Nossen'!J6:M62,$A$11,'Kal Unter TH OS Nossen'!M6:M62)</f>
        <v>75213.600000000006</v>
      </c>
    </row>
  </sheetData>
  <sheetProtection algorithmName="SHA-512" hashValue="h+KpWWsISz0hq43rCBjGtQtQPa8avCU4f7PBSqiwNKCOkm0wXU/I3Q0hrqiSc1RbfxvHGYFAGFyfkp17SAietw==" saltValue="ANDTsTtMjl7c3wfKMFmn5Q==" spinCount="100000" sheet="1" objects="1" scenarios="1" formatCells="0" formatColumns="0" formatRows="0" insertColumns="0" insertRows="0" insertHyperlinks="0" deleteColumns="0" deleteRows="0"/>
  <protectedRanges>
    <protectedRange sqref="B6:B11" name="Bereich1"/>
  </protectedRanges>
  <mergeCells count="1">
    <mergeCell ref="A4:C4"/>
  </mergeCells>
  <hyperlinks>
    <hyperlink ref="C1" location="Inhaltsverzeichnis!A1" display="Zurück zum Inhaltsverzeichnis" xr:uid="{7C5B99E2-18A4-44F8-98C7-A132486E32AC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2220B-4FD6-4B03-8A0C-62A085B5B20E}">
  <dimension ref="A1:S39"/>
  <sheetViews>
    <sheetView tabSelected="1" topLeftCell="A10" workbookViewId="0">
      <selection activeCell="O42" sqref="O42"/>
    </sheetView>
  </sheetViews>
  <sheetFormatPr baseColWidth="10" defaultRowHeight="15" x14ac:dyDescent="0.25"/>
  <cols>
    <col min="4" max="4" width="11.42578125" style="115"/>
    <col min="5" max="5" width="18.42578125" customWidth="1"/>
  </cols>
  <sheetData>
    <row r="1" spans="1:19" x14ac:dyDescent="0.25">
      <c r="A1" s="14" t="s">
        <v>176</v>
      </c>
      <c r="B1" s="14"/>
      <c r="C1" s="14"/>
      <c r="D1" s="9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9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162</v>
      </c>
      <c r="B3" s="14" t="s">
        <v>413</v>
      </c>
      <c r="C3" s="14"/>
      <c r="D3" s="9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177</v>
      </c>
      <c r="B4" s="77" t="s">
        <v>178</v>
      </c>
      <c r="C4" s="84" t="s">
        <v>179</v>
      </c>
      <c r="D4" s="84" t="s">
        <v>180</v>
      </c>
      <c r="E4" s="77" t="s">
        <v>181</v>
      </c>
      <c r="F4" s="84" t="s">
        <v>182</v>
      </c>
      <c r="G4" s="77" t="s">
        <v>183</v>
      </c>
      <c r="H4" s="77" t="s">
        <v>184</v>
      </c>
      <c r="I4" s="77" t="s">
        <v>185</v>
      </c>
      <c r="J4" s="77" t="s">
        <v>186</v>
      </c>
      <c r="K4" s="77" t="s">
        <v>187</v>
      </c>
      <c r="L4" s="77" t="s">
        <v>222</v>
      </c>
      <c r="M4" s="77" t="s">
        <v>188</v>
      </c>
      <c r="N4" s="77" t="s">
        <v>189</v>
      </c>
      <c r="O4" s="77" t="s">
        <v>190</v>
      </c>
      <c r="P4" s="77" t="s">
        <v>191</v>
      </c>
      <c r="Q4" s="77" t="s">
        <v>192</v>
      </c>
      <c r="R4" s="77" t="s">
        <v>193</v>
      </c>
      <c r="S4" s="77" t="s">
        <v>194</v>
      </c>
    </row>
    <row r="5" spans="1:19" x14ac:dyDescent="0.25">
      <c r="A5" s="85" t="s">
        <v>195</v>
      </c>
      <c r="B5" s="62"/>
      <c r="C5" s="62"/>
      <c r="D5" s="89"/>
      <c r="E5" s="62"/>
      <c r="F5" s="62"/>
      <c r="G5" s="86">
        <f>SUM(G6:G39)</f>
        <v>1364.29</v>
      </c>
      <c r="H5" s="86">
        <f t="shared" ref="H5:I5" si="0">SUM(H6:H39)</f>
        <v>0</v>
      </c>
      <c r="I5" s="86">
        <f t="shared" si="0"/>
        <v>2</v>
      </c>
      <c r="J5" s="87"/>
      <c r="K5" s="87"/>
      <c r="L5" s="88">
        <f>MAX(L6:L14)</f>
        <v>187</v>
      </c>
      <c r="M5" s="86">
        <f>SUM(M6:M39)</f>
        <v>124791.85999999999</v>
      </c>
      <c r="N5" s="87"/>
      <c r="O5" s="87"/>
      <c r="P5" s="86">
        <f>SUM(P6:P39)</f>
        <v>0</v>
      </c>
      <c r="Q5" s="86">
        <f t="shared" ref="Q5:S5" si="1">SUM(Q6:Q39)</f>
        <v>0</v>
      </c>
      <c r="R5" s="86">
        <f t="shared" si="1"/>
        <v>0</v>
      </c>
      <c r="S5" s="86">
        <f t="shared" si="1"/>
        <v>0</v>
      </c>
    </row>
    <row r="6" spans="1:19" x14ac:dyDescent="0.25">
      <c r="A6" s="62">
        <v>1</v>
      </c>
      <c r="B6" s="89" t="s">
        <v>261</v>
      </c>
      <c r="C6" s="89" t="s">
        <v>196</v>
      </c>
      <c r="D6" s="89" t="s">
        <v>226</v>
      </c>
      <c r="E6" s="62" t="s">
        <v>330</v>
      </c>
      <c r="F6" s="62" t="s">
        <v>200</v>
      </c>
      <c r="G6" s="87">
        <v>19.13</v>
      </c>
      <c r="H6" s="87"/>
      <c r="I6" s="87"/>
      <c r="J6" s="89" t="s">
        <v>172</v>
      </c>
      <c r="K6" s="90">
        <v>5</v>
      </c>
      <c r="L6" s="87">
        <f>VLOOKUP(K6,Reinigungstage!$A$10:$D$31,4,FALSE)</f>
        <v>187</v>
      </c>
      <c r="M6" s="87">
        <f t="shared" ref="M6:M14" si="2">ROUND(IF(L6=0,0,L6*G6),2)</f>
        <v>3577.31</v>
      </c>
      <c r="N6" s="91">
        <f>VLOOKUP(J6,'Lei Unter TH OS Nossen'!$A$6:$B$14,2,0)</f>
        <v>0</v>
      </c>
      <c r="O6" s="92" t="str">
        <f ca="1">'SVS UnterhaltsRG'!$H$61</f>
        <v/>
      </c>
      <c r="P6" s="87">
        <f t="shared" ref="P6:P38" si="3">ROUND(IF(N6=0,0,M6/N6),2)</f>
        <v>0</v>
      </c>
      <c r="Q6" s="87">
        <f t="shared" ref="Q6:Q14" si="4">ROUND(IF(P6=0,0,P6*O6),2)</f>
        <v>0</v>
      </c>
      <c r="R6" s="87">
        <f t="shared" ref="R6:R14" si="5">ROUND(IF(P6=0,0,P6/L6),2)</f>
        <v>0</v>
      </c>
      <c r="S6" s="87">
        <f t="shared" ref="S6:S14" si="6">ROUND(IF(Q6=0,0,Q6/L6),2)</f>
        <v>0</v>
      </c>
    </row>
    <row r="7" spans="1:19" x14ac:dyDescent="0.25">
      <c r="A7" s="62">
        <v>2</v>
      </c>
      <c r="B7" s="89" t="s">
        <v>260</v>
      </c>
      <c r="C7" s="89" t="s">
        <v>196</v>
      </c>
      <c r="D7" s="89" t="s">
        <v>226</v>
      </c>
      <c r="E7" s="62" t="s">
        <v>331</v>
      </c>
      <c r="F7" s="62" t="s">
        <v>200</v>
      </c>
      <c r="G7" s="87">
        <v>10.27</v>
      </c>
      <c r="H7" s="87"/>
      <c r="I7" s="87"/>
      <c r="J7" s="89" t="s">
        <v>169</v>
      </c>
      <c r="K7" s="90">
        <v>5</v>
      </c>
      <c r="L7" s="87">
        <f>VLOOKUP(K7,Reinigungstage!$A$10:$D$31,4,FALSE)</f>
        <v>187</v>
      </c>
      <c r="M7" s="87">
        <f t="shared" si="2"/>
        <v>1920.49</v>
      </c>
      <c r="N7" s="91">
        <f>VLOOKUP(J7,'Lei Unter TH OS Nossen'!$A$6:$B$14,2,0)</f>
        <v>0</v>
      </c>
      <c r="O7" s="92" t="str">
        <f ca="1">'SVS UnterhaltsRG'!$H$61</f>
        <v/>
      </c>
      <c r="P7" s="87">
        <f t="shared" si="3"/>
        <v>0</v>
      </c>
      <c r="Q7" s="87">
        <f t="shared" si="4"/>
        <v>0</v>
      </c>
      <c r="R7" s="87">
        <f t="shared" si="5"/>
        <v>0</v>
      </c>
      <c r="S7" s="87">
        <f t="shared" si="6"/>
        <v>0</v>
      </c>
    </row>
    <row r="8" spans="1:19" x14ac:dyDescent="0.25">
      <c r="A8" s="62">
        <v>3</v>
      </c>
      <c r="B8" s="89" t="s">
        <v>363</v>
      </c>
      <c r="C8" s="89" t="s">
        <v>196</v>
      </c>
      <c r="D8" s="89" t="s">
        <v>226</v>
      </c>
      <c r="E8" s="62" t="s">
        <v>332</v>
      </c>
      <c r="F8" s="62" t="s">
        <v>200</v>
      </c>
      <c r="G8" s="106">
        <v>1.55</v>
      </c>
      <c r="H8" s="87"/>
      <c r="I8" s="87"/>
      <c r="J8" s="89" t="s">
        <v>169</v>
      </c>
      <c r="K8" s="90">
        <v>5</v>
      </c>
      <c r="L8" s="87">
        <f>VLOOKUP(K8,Reinigungstage!$A$10:$D$31,4,FALSE)</f>
        <v>187</v>
      </c>
      <c r="M8" s="87">
        <f t="shared" si="2"/>
        <v>289.85000000000002</v>
      </c>
      <c r="N8" s="91">
        <f>VLOOKUP(J8,'Lei Unter TH OS Nossen'!$A$6:$B$14,2,0)</f>
        <v>0</v>
      </c>
      <c r="O8" s="92" t="str">
        <f ca="1">'SVS UnterhaltsRG'!$H$61</f>
        <v/>
      </c>
      <c r="P8" s="87">
        <f t="shared" si="3"/>
        <v>0</v>
      </c>
      <c r="Q8" s="87">
        <f t="shared" si="4"/>
        <v>0</v>
      </c>
      <c r="R8" s="87">
        <f t="shared" si="5"/>
        <v>0</v>
      </c>
      <c r="S8" s="87">
        <f t="shared" si="6"/>
        <v>0</v>
      </c>
    </row>
    <row r="9" spans="1:19" x14ac:dyDescent="0.25">
      <c r="A9" s="62">
        <v>4</v>
      </c>
      <c r="B9" s="89" t="s">
        <v>259</v>
      </c>
      <c r="C9" s="89" t="s">
        <v>196</v>
      </c>
      <c r="D9" s="89" t="s">
        <v>226</v>
      </c>
      <c r="E9" s="62" t="s">
        <v>333</v>
      </c>
      <c r="F9" s="62" t="s">
        <v>200</v>
      </c>
      <c r="G9" s="106">
        <v>1.55</v>
      </c>
      <c r="H9" s="87"/>
      <c r="I9" s="87"/>
      <c r="J9" s="89" t="s">
        <v>169</v>
      </c>
      <c r="K9" s="90">
        <v>5</v>
      </c>
      <c r="L9" s="87">
        <f>VLOOKUP(K9,Reinigungstage!$A$10:$D$31,4,FALSE)</f>
        <v>187</v>
      </c>
      <c r="M9" s="87">
        <f t="shared" si="2"/>
        <v>289.85000000000002</v>
      </c>
      <c r="N9" s="91">
        <f>VLOOKUP(J9,'Lei Unter TH OS Nossen'!$A$6:$B$14,2,0)</f>
        <v>0</v>
      </c>
      <c r="O9" s="92" t="str">
        <f ca="1">'SVS UnterhaltsRG'!$H$61</f>
        <v/>
      </c>
      <c r="P9" s="87">
        <f t="shared" si="3"/>
        <v>0</v>
      </c>
      <c r="Q9" s="87">
        <f t="shared" si="4"/>
        <v>0</v>
      </c>
      <c r="R9" s="87">
        <f t="shared" si="5"/>
        <v>0</v>
      </c>
      <c r="S9" s="87">
        <f t="shared" si="6"/>
        <v>0</v>
      </c>
    </row>
    <row r="10" spans="1:19" x14ac:dyDescent="0.25">
      <c r="A10" s="62">
        <v>5</v>
      </c>
      <c r="B10" s="89" t="s">
        <v>366</v>
      </c>
      <c r="C10" s="89" t="s">
        <v>196</v>
      </c>
      <c r="D10" s="89" t="s">
        <v>226</v>
      </c>
      <c r="E10" s="62" t="s">
        <v>334</v>
      </c>
      <c r="F10" s="62" t="s">
        <v>200</v>
      </c>
      <c r="G10" s="106">
        <v>9.92</v>
      </c>
      <c r="H10" s="87"/>
      <c r="I10" s="87"/>
      <c r="J10" s="89" t="s">
        <v>169</v>
      </c>
      <c r="K10" s="90">
        <v>5</v>
      </c>
      <c r="L10" s="87">
        <f>VLOOKUP(K10,Reinigungstage!$A$10:$D$31,4,FALSE)</f>
        <v>187</v>
      </c>
      <c r="M10" s="87">
        <f t="shared" si="2"/>
        <v>1855.04</v>
      </c>
      <c r="N10" s="91">
        <f>VLOOKUP(J10,'Lei Unter TH OS Nossen'!$A$6:$B$14,2,0)</f>
        <v>0</v>
      </c>
      <c r="O10" s="92" t="str">
        <f ca="1">'SVS UnterhaltsRG'!$H$61</f>
        <v/>
      </c>
      <c r="P10" s="87">
        <f t="shared" si="3"/>
        <v>0</v>
      </c>
      <c r="Q10" s="87">
        <f t="shared" si="4"/>
        <v>0</v>
      </c>
      <c r="R10" s="87">
        <f t="shared" si="5"/>
        <v>0</v>
      </c>
      <c r="S10" s="87">
        <f t="shared" si="6"/>
        <v>0</v>
      </c>
    </row>
    <row r="11" spans="1:19" x14ac:dyDescent="0.25">
      <c r="A11" s="62">
        <v>6</v>
      </c>
      <c r="B11" s="89" t="s">
        <v>365</v>
      </c>
      <c r="C11" s="89" t="s">
        <v>196</v>
      </c>
      <c r="D11" s="89" t="s">
        <v>226</v>
      </c>
      <c r="E11" s="62" t="s">
        <v>335</v>
      </c>
      <c r="F11" s="62" t="s">
        <v>200</v>
      </c>
      <c r="G11" s="106">
        <v>1.55</v>
      </c>
      <c r="H11" s="87"/>
      <c r="I11" s="87"/>
      <c r="J11" s="89" t="s">
        <v>169</v>
      </c>
      <c r="K11" s="90">
        <v>5</v>
      </c>
      <c r="L11" s="87">
        <f>VLOOKUP(K11,Reinigungstage!$A$10:$D$31,4,FALSE)</f>
        <v>187</v>
      </c>
      <c r="M11" s="87">
        <f t="shared" si="2"/>
        <v>289.85000000000002</v>
      </c>
      <c r="N11" s="91">
        <f>VLOOKUP(J11,'Lei Unter TH OS Nossen'!$A$6:$B$14,2,0)</f>
        <v>0</v>
      </c>
      <c r="O11" s="92" t="str">
        <f ca="1">'SVS UnterhaltsRG'!$H$61</f>
        <v/>
      </c>
      <c r="P11" s="87">
        <f t="shared" si="3"/>
        <v>0</v>
      </c>
      <c r="Q11" s="87">
        <f t="shared" si="4"/>
        <v>0</v>
      </c>
      <c r="R11" s="87">
        <f t="shared" si="5"/>
        <v>0</v>
      </c>
      <c r="S11" s="87">
        <f t="shared" si="6"/>
        <v>0</v>
      </c>
    </row>
    <row r="12" spans="1:19" x14ac:dyDescent="0.25">
      <c r="A12" s="62">
        <v>7</v>
      </c>
      <c r="B12" s="89" t="s">
        <v>364</v>
      </c>
      <c r="C12" s="89" t="s">
        <v>196</v>
      </c>
      <c r="D12" s="89" t="s">
        <v>226</v>
      </c>
      <c r="E12" s="62" t="s">
        <v>336</v>
      </c>
      <c r="F12" s="62" t="s">
        <v>200</v>
      </c>
      <c r="G12" s="109">
        <v>1.55</v>
      </c>
      <c r="H12" s="87"/>
      <c r="I12" s="87"/>
      <c r="J12" s="89" t="s">
        <v>169</v>
      </c>
      <c r="K12" s="90">
        <v>5</v>
      </c>
      <c r="L12" s="87">
        <f>VLOOKUP(K12,Reinigungstage!$A$10:$D$31,4,FALSE)</f>
        <v>187</v>
      </c>
      <c r="M12" s="87">
        <f t="shared" si="2"/>
        <v>289.85000000000002</v>
      </c>
      <c r="N12" s="91">
        <f>VLOOKUP(J12,'Lei Unter TH OS Nossen'!$A$6:$B$14,2,0)</f>
        <v>0</v>
      </c>
      <c r="O12" s="92" t="str">
        <f ca="1">'SVS UnterhaltsRG'!$H$61</f>
        <v/>
      </c>
      <c r="P12" s="87">
        <f t="shared" si="3"/>
        <v>0</v>
      </c>
      <c r="Q12" s="87">
        <f t="shared" si="4"/>
        <v>0</v>
      </c>
      <c r="R12" s="87">
        <f t="shared" si="5"/>
        <v>0</v>
      </c>
      <c r="S12" s="87">
        <f t="shared" si="6"/>
        <v>0</v>
      </c>
    </row>
    <row r="13" spans="1:19" x14ac:dyDescent="0.25">
      <c r="A13" s="62">
        <v>8</v>
      </c>
      <c r="B13" s="89" t="s">
        <v>258</v>
      </c>
      <c r="C13" s="89" t="s">
        <v>196</v>
      </c>
      <c r="D13" s="89" t="s">
        <v>226</v>
      </c>
      <c r="E13" s="62" t="s">
        <v>337</v>
      </c>
      <c r="F13" s="62" t="s">
        <v>200</v>
      </c>
      <c r="G13" s="106">
        <v>20.010000000000002</v>
      </c>
      <c r="H13" s="87"/>
      <c r="I13" s="87"/>
      <c r="J13" s="89" t="s">
        <v>172</v>
      </c>
      <c r="K13" s="90">
        <v>5</v>
      </c>
      <c r="L13" s="87">
        <f>VLOOKUP(K13,Reinigungstage!$A$10:$D$31,4,FALSE)</f>
        <v>187</v>
      </c>
      <c r="M13" s="87">
        <f t="shared" si="2"/>
        <v>3741.87</v>
      </c>
      <c r="N13" s="91">
        <f>VLOOKUP(J13,'Lei Unter TH OS Nossen'!$A$6:$B$14,2,0)</f>
        <v>0</v>
      </c>
      <c r="O13" s="92" t="str">
        <f ca="1">'SVS UnterhaltsRG'!$H$61</f>
        <v/>
      </c>
      <c r="P13" s="87">
        <f t="shared" si="3"/>
        <v>0</v>
      </c>
      <c r="Q13" s="87">
        <f t="shared" si="4"/>
        <v>0</v>
      </c>
      <c r="R13" s="87">
        <f t="shared" si="5"/>
        <v>0</v>
      </c>
      <c r="S13" s="87">
        <f t="shared" si="6"/>
        <v>0</v>
      </c>
    </row>
    <row r="14" spans="1:19" x14ac:dyDescent="0.25">
      <c r="A14" s="62">
        <v>9</v>
      </c>
      <c r="B14" s="89" t="s">
        <v>257</v>
      </c>
      <c r="C14" s="89" t="s">
        <v>196</v>
      </c>
      <c r="D14" s="89" t="s">
        <v>226</v>
      </c>
      <c r="E14" s="62" t="s">
        <v>338</v>
      </c>
      <c r="F14" s="62" t="s">
        <v>200</v>
      </c>
      <c r="G14" s="106">
        <v>9.8699999999999992</v>
      </c>
      <c r="H14" s="87"/>
      <c r="I14" s="87"/>
      <c r="J14" s="89" t="s">
        <v>170</v>
      </c>
      <c r="K14" s="90" t="s">
        <v>199</v>
      </c>
      <c r="L14" s="87">
        <f>VLOOKUP(K14,Reinigungstage!$A$10:$D$31,4,FALSE)</f>
        <v>11</v>
      </c>
      <c r="M14" s="87">
        <f t="shared" si="2"/>
        <v>108.57</v>
      </c>
      <c r="N14" s="91">
        <f>VLOOKUP(J14,'Lei Unter TH OS Nossen'!$A$6:$B$14,2,0)</f>
        <v>0</v>
      </c>
      <c r="O14" s="92" t="str">
        <f ca="1">'SVS UnterhaltsRG'!$H$61</f>
        <v/>
      </c>
      <c r="P14" s="87">
        <f t="shared" si="3"/>
        <v>0</v>
      </c>
      <c r="Q14" s="87">
        <f t="shared" si="4"/>
        <v>0</v>
      </c>
      <c r="R14" s="87">
        <f t="shared" si="5"/>
        <v>0</v>
      </c>
      <c r="S14" s="87">
        <f t="shared" si="6"/>
        <v>0</v>
      </c>
    </row>
    <row r="15" spans="1:19" x14ac:dyDescent="0.25">
      <c r="A15" s="62">
        <v>10</v>
      </c>
      <c r="B15" s="89" t="s">
        <v>233</v>
      </c>
      <c r="C15" s="89" t="s">
        <v>196</v>
      </c>
      <c r="D15" s="89" t="s">
        <v>226</v>
      </c>
      <c r="E15" s="62" t="s">
        <v>339</v>
      </c>
      <c r="F15" s="62" t="s">
        <v>200</v>
      </c>
      <c r="G15" s="87">
        <v>4.6399999999999997</v>
      </c>
      <c r="H15" s="87"/>
      <c r="I15" s="87"/>
      <c r="J15" s="89" t="s">
        <v>170</v>
      </c>
      <c r="K15" s="90" t="s">
        <v>199</v>
      </c>
      <c r="L15" s="87">
        <f>VLOOKUP(K15,Reinigungstage!$A$10:$D$31,4,FALSE)</f>
        <v>11</v>
      </c>
      <c r="M15" s="87">
        <f t="shared" ref="M15:M38" si="7">ROUND(IF(L15=0,0,L15*G15),2)</f>
        <v>51.04</v>
      </c>
      <c r="N15" s="91">
        <f>VLOOKUP(J15,'Lei Unter TH OS Nossen'!$A$6:$B$14,2,0)</f>
        <v>0</v>
      </c>
      <c r="O15" s="92" t="str">
        <f ca="1">'SVS UnterhaltsRG'!$H$61</f>
        <v/>
      </c>
      <c r="P15" s="87">
        <f t="shared" si="3"/>
        <v>0</v>
      </c>
      <c r="Q15" s="87">
        <f t="shared" ref="Q15:Q38" si="8">ROUND(IF(P15=0,0,P15*O15),2)</f>
        <v>0</v>
      </c>
      <c r="R15" s="87">
        <f t="shared" ref="R15:R38" si="9">ROUND(IF(P15=0,0,P15/L15),2)</f>
        <v>0</v>
      </c>
      <c r="S15" s="87">
        <f t="shared" ref="S15:S38" si="10">ROUND(IF(Q15=0,0,Q15/L15),2)</f>
        <v>0</v>
      </c>
    </row>
    <row r="16" spans="1:19" x14ac:dyDescent="0.25">
      <c r="A16" s="62">
        <v>11</v>
      </c>
      <c r="B16" s="89" t="s">
        <v>367</v>
      </c>
      <c r="C16" s="89" t="s">
        <v>196</v>
      </c>
      <c r="D16" s="89" t="s">
        <v>226</v>
      </c>
      <c r="E16" s="62" t="s">
        <v>340</v>
      </c>
      <c r="F16" s="62" t="s">
        <v>200</v>
      </c>
      <c r="G16" s="87">
        <v>31.32</v>
      </c>
      <c r="H16" s="87"/>
      <c r="I16" s="87"/>
      <c r="J16" s="89" t="s">
        <v>174</v>
      </c>
      <c r="K16" s="90">
        <v>5</v>
      </c>
      <c r="L16" s="87">
        <f>VLOOKUP(K16,Reinigungstage!$A$10:$D$31,4,FALSE)</f>
        <v>187</v>
      </c>
      <c r="M16" s="87">
        <f t="shared" si="7"/>
        <v>5856.84</v>
      </c>
      <c r="N16" s="91">
        <f>VLOOKUP(J16,'Lei Unter TH OS Nossen'!$A$6:$B$14,2,0)</f>
        <v>0</v>
      </c>
      <c r="O16" s="92" t="str">
        <f ca="1">'SVS UnterhaltsRG'!$H$61</f>
        <v/>
      </c>
      <c r="P16" s="87">
        <f t="shared" si="3"/>
        <v>0</v>
      </c>
      <c r="Q16" s="87">
        <f t="shared" si="8"/>
        <v>0</v>
      </c>
      <c r="R16" s="87">
        <f t="shared" si="9"/>
        <v>0</v>
      </c>
      <c r="S16" s="87">
        <f t="shared" si="10"/>
        <v>0</v>
      </c>
    </row>
    <row r="17" spans="1:19" x14ac:dyDescent="0.25">
      <c r="A17" s="62">
        <v>12</v>
      </c>
      <c r="B17" s="89" t="s">
        <v>368</v>
      </c>
      <c r="C17" s="89" t="s">
        <v>196</v>
      </c>
      <c r="D17" s="89" t="s">
        <v>226</v>
      </c>
      <c r="E17" s="62" t="s">
        <v>341</v>
      </c>
      <c r="F17" s="62" t="s">
        <v>200</v>
      </c>
      <c r="G17" s="106">
        <v>30.12</v>
      </c>
      <c r="H17" s="87"/>
      <c r="I17" s="87">
        <v>1</v>
      </c>
      <c r="J17" s="89" t="s">
        <v>174</v>
      </c>
      <c r="K17" s="90">
        <v>5</v>
      </c>
      <c r="L17" s="87">
        <f>VLOOKUP(K17,Reinigungstage!$A$10:$D$31,4,FALSE)</f>
        <v>187</v>
      </c>
      <c r="M17" s="87">
        <f t="shared" si="7"/>
        <v>5632.44</v>
      </c>
      <c r="N17" s="91">
        <f>VLOOKUP(J17,'Lei Unter TH OS Nossen'!$A$6:$B$14,2,0)</f>
        <v>0</v>
      </c>
      <c r="O17" s="92" t="str">
        <f ca="1">'SVS UnterhaltsRG'!$H$61</f>
        <v/>
      </c>
      <c r="P17" s="87">
        <f t="shared" si="3"/>
        <v>0</v>
      </c>
      <c r="Q17" s="87">
        <f t="shared" si="8"/>
        <v>0</v>
      </c>
      <c r="R17" s="87">
        <f t="shared" si="9"/>
        <v>0</v>
      </c>
      <c r="S17" s="87">
        <f t="shared" si="10"/>
        <v>0</v>
      </c>
    </row>
    <row r="18" spans="1:19" ht="21" x14ac:dyDescent="0.25">
      <c r="A18" s="62">
        <v>14</v>
      </c>
      <c r="B18" s="89" t="s">
        <v>262</v>
      </c>
      <c r="C18" s="89" t="s">
        <v>196</v>
      </c>
      <c r="D18" s="89" t="s">
        <v>226</v>
      </c>
      <c r="E18" s="62" t="s">
        <v>342</v>
      </c>
      <c r="F18" s="62" t="s">
        <v>227</v>
      </c>
      <c r="G18" s="106">
        <v>46.74</v>
      </c>
      <c r="H18" s="87"/>
      <c r="I18" s="87"/>
      <c r="J18" s="89" t="s">
        <v>170</v>
      </c>
      <c r="K18" s="90" t="s">
        <v>216</v>
      </c>
      <c r="L18" s="87">
        <f>VLOOKUP(K18,Reinigungstage!$A$10:$D$31,4,FALSE)</f>
        <v>4</v>
      </c>
      <c r="M18" s="87">
        <f t="shared" si="7"/>
        <v>186.96</v>
      </c>
      <c r="N18" s="91">
        <f>VLOOKUP(J18,'Lei Unter TH OS Nossen'!$A$6:$B$14,2,0)</f>
        <v>0</v>
      </c>
      <c r="O18" s="92" t="str">
        <f ca="1">'SVS UnterhaltsRG'!$H$61</f>
        <v/>
      </c>
      <c r="P18" s="87">
        <f t="shared" si="3"/>
        <v>0</v>
      </c>
      <c r="Q18" s="87">
        <f t="shared" si="8"/>
        <v>0</v>
      </c>
      <c r="R18" s="87">
        <f t="shared" si="9"/>
        <v>0</v>
      </c>
      <c r="S18" s="87">
        <f t="shared" si="10"/>
        <v>0</v>
      </c>
    </row>
    <row r="19" spans="1:19" x14ac:dyDescent="0.25">
      <c r="A19" s="62">
        <v>15</v>
      </c>
      <c r="B19" s="89" t="s">
        <v>263</v>
      </c>
      <c r="C19" s="89" t="s">
        <v>196</v>
      </c>
      <c r="D19" s="89" t="s">
        <v>226</v>
      </c>
      <c r="E19" s="62" t="s">
        <v>343</v>
      </c>
      <c r="F19" s="62" t="s">
        <v>200</v>
      </c>
      <c r="G19" s="106">
        <v>2.46</v>
      </c>
      <c r="H19" s="87"/>
      <c r="I19" s="87"/>
      <c r="J19" s="89" t="s">
        <v>169</v>
      </c>
      <c r="K19" s="90">
        <v>5</v>
      </c>
      <c r="L19" s="87">
        <f>VLOOKUP(K19,Reinigungstage!$A$10:$D$31,4,FALSE)</f>
        <v>187</v>
      </c>
      <c r="M19" s="87">
        <f t="shared" si="7"/>
        <v>460.02</v>
      </c>
      <c r="N19" s="91">
        <f>VLOOKUP(J19,'Lei Unter TH OS Nossen'!$A$6:$B$14,2,0)</f>
        <v>0</v>
      </c>
      <c r="O19" s="92" t="str">
        <f ca="1">'SVS UnterhaltsRG'!$H$61</f>
        <v/>
      </c>
      <c r="P19" s="87">
        <f t="shared" si="3"/>
        <v>0</v>
      </c>
      <c r="Q19" s="87">
        <f t="shared" si="8"/>
        <v>0</v>
      </c>
      <c r="R19" s="87">
        <f t="shared" si="9"/>
        <v>0</v>
      </c>
      <c r="S19" s="87">
        <f t="shared" si="10"/>
        <v>0</v>
      </c>
    </row>
    <row r="20" spans="1:19" x14ac:dyDescent="0.25">
      <c r="A20" s="62">
        <v>16</v>
      </c>
      <c r="B20" s="89" t="s">
        <v>265</v>
      </c>
      <c r="C20" s="89" t="s">
        <v>196</v>
      </c>
      <c r="D20" s="89" t="s">
        <v>226</v>
      </c>
      <c r="E20" s="62" t="s">
        <v>344</v>
      </c>
      <c r="F20" s="62" t="s">
        <v>200</v>
      </c>
      <c r="G20" s="109">
        <v>2.4500000000000002</v>
      </c>
      <c r="H20" s="87"/>
      <c r="I20" s="87"/>
      <c r="J20" s="89" t="s">
        <v>169</v>
      </c>
      <c r="K20" s="90">
        <v>5</v>
      </c>
      <c r="L20" s="87">
        <f>VLOOKUP(K20,Reinigungstage!$A$10:$D$31,4,FALSE)</f>
        <v>187</v>
      </c>
      <c r="M20" s="87">
        <f t="shared" si="7"/>
        <v>458.15</v>
      </c>
      <c r="N20" s="91">
        <f>VLOOKUP(J20,'Lei Unter TH OS Nossen'!$A$6:$B$14,2,0)</f>
        <v>0</v>
      </c>
      <c r="O20" s="92" t="str">
        <f ca="1">'SVS UnterhaltsRG'!$H$61</f>
        <v/>
      </c>
      <c r="P20" s="87">
        <f t="shared" si="3"/>
        <v>0</v>
      </c>
      <c r="Q20" s="87">
        <f t="shared" si="8"/>
        <v>0</v>
      </c>
      <c r="R20" s="87">
        <f t="shared" si="9"/>
        <v>0</v>
      </c>
      <c r="S20" s="87">
        <f t="shared" si="10"/>
        <v>0</v>
      </c>
    </row>
    <row r="21" spans="1:19" x14ac:dyDescent="0.25">
      <c r="A21" s="62">
        <v>17</v>
      </c>
      <c r="B21" s="89" t="s">
        <v>266</v>
      </c>
      <c r="C21" s="89" t="s">
        <v>196</v>
      </c>
      <c r="D21" s="89" t="s">
        <v>226</v>
      </c>
      <c r="E21" s="62" t="s">
        <v>345</v>
      </c>
      <c r="F21" s="62" t="s">
        <v>197</v>
      </c>
      <c r="G21" s="106">
        <v>7.38</v>
      </c>
      <c r="H21" s="87"/>
      <c r="I21" s="87"/>
      <c r="J21" s="89" t="s">
        <v>172</v>
      </c>
      <c r="K21" s="90">
        <v>5</v>
      </c>
      <c r="L21" s="87">
        <f>VLOOKUP(K21,Reinigungstage!$A$10:$D$31,4,FALSE)</f>
        <v>187</v>
      </c>
      <c r="M21" s="87">
        <f t="shared" si="7"/>
        <v>1380.06</v>
      </c>
      <c r="N21" s="91">
        <f>VLOOKUP(J21,'Lei Unter TH OS Nossen'!$A$6:$B$14,2,0)</f>
        <v>0</v>
      </c>
      <c r="O21" s="92" t="str">
        <f ca="1">'SVS UnterhaltsRG'!$H$61</f>
        <v/>
      </c>
      <c r="P21" s="87">
        <f t="shared" si="3"/>
        <v>0</v>
      </c>
      <c r="Q21" s="87">
        <f t="shared" si="8"/>
        <v>0</v>
      </c>
      <c r="R21" s="87">
        <f t="shared" si="9"/>
        <v>0</v>
      </c>
      <c r="S21" s="87">
        <f t="shared" si="10"/>
        <v>0</v>
      </c>
    </row>
    <row r="22" spans="1:19" x14ac:dyDescent="0.25">
      <c r="A22" s="62">
        <v>18</v>
      </c>
      <c r="B22" s="89" t="s">
        <v>264</v>
      </c>
      <c r="C22" s="89" t="s">
        <v>196</v>
      </c>
      <c r="D22" s="89" t="s">
        <v>226</v>
      </c>
      <c r="E22" s="62" t="s">
        <v>346</v>
      </c>
      <c r="F22" s="62" t="s">
        <v>197</v>
      </c>
      <c r="G22" s="106">
        <v>7.45</v>
      </c>
      <c r="H22" s="87"/>
      <c r="I22" s="87"/>
      <c r="J22" s="89" t="s">
        <v>172</v>
      </c>
      <c r="K22" s="90">
        <v>5</v>
      </c>
      <c r="L22" s="87">
        <f>VLOOKUP(K22,Reinigungstage!$A$10:$D$31,4,FALSE)</f>
        <v>187</v>
      </c>
      <c r="M22" s="87">
        <f t="shared" si="7"/>
        <v>1393.15</v>
      </c>
      <c r="N22" s="91">
        <f>VLOOKUP(J22,'Lei Unter TH OS Nossen'!$A$6:$B$14,2,0)</f>
        <v>0</v>
      </c>
      <c r="O22" s="92" t="str">
        <f ca="1">'SVS UnterhaltsRG'!$H$61</f>
        <v/>
      </c>
      <c r="P22" s="87">
        <f t="shared" si="3"/>
        <v>0</v>
      </c>
      <c r="Q22" s="87">
        <f t="shared" si="8"/>
        <v>0</v>
      </c>
      <c r="R22" s="87">
        <f t="shared" si="9"/>
        <v>0</v>
      </c>
      <c r="S22" s="87">
        <f t="shared" si="10"/>
        <v>0</v>
      </c>
    </row>
    <row r="23" spans="1:19" x14ac:dyDescent="0.25">
      <c r="A23" s="62">
        <v>20</v>
      </c>
      <c r="B23" s="89" t="s">
        <v>268</v>
      </c>
      <c r="C23" s="89" t="s">
        <v>196</v>
      </c>
      <c r="D23" s="89" t="s">
        <v>226</v>
      </c>
      <c r="E23" s="62" t="s">
        <v>347</v>
      </c>
      <c r="F23" s="62" t="s">
        <v>200</v>
      </c>
      <c r="G23" s="87">
        <v>6.91</v>
      </c>
      <c r="H23" s="87"/>
      <c r="I23" s="87"/>
      <c r="J23" s="89" t="s">
        <v>170</v>
      </c>
      <c r="K23" s="90" t="s">
        <v>199</v>
      </c>
      <c r="L23" s="87">
        <f>VLOOKUP(K23,Reinigungstage!$A$10:$D$31,4,FALSE)</f>
        <v>11</v>
      </c>
      <c r="M23" s="87">
        <f t="shared" si="7"/>
        <v>76.010000000000005</v>
      </c>
      <c r="N23" s="91">
        <f>VLOOKUP(J23,'Lei Unter TH OS Nossen'!$A$6:$B$14,2,0)</f>
        <v>0</v>
      </c>
      <c r="O23" s="92" t="str">
        <f ca="1">'SVS UnterhaltsRG'!$H$61</f>
        <v/>
      </c>
      <c r="P23" s="87">
        <f t="shared" si="3"/>
        <v>0</v>
      </c>
      <c r="Q23" s="87">
        <f t="shared" si="8"/>
        <v>0</v>
      </c>
      <c r="R23" s="87">
        <f t="shared" si="9"/>
        <v>0</v>
      </c>
      <c r="S23" s="87">
        <f t="shared" si="10"/>
        <v>0</v>
      </c>
    </row>
    <row r="24" spans="1:19" x14ac:dyDescent="0.25">
      <c r="A24" s="62">
        <v>21</v>
      </c>
      <c r="B24" s="89" t="s">
        <v>270</v>
      </c>
      <c r="C24" s="89" t="s">
        <v>196</v>
      </c>
      <c r="D24" s="89" t="s">
        <v>226</v>
      </c>
      <c r="E24" s="62" t="s">
        <v>348</v>
      </c>
      <c r="F24" s="62" t="s">
        <v>200</v>
      </c>
      <c r="G24" s="106">
        <v>20.010000000000002</v>
      </c>
      <c r="H24" s="87"/>
      <c r="I24" s="87"/>
      <c r="J24" s="89" t="s">
        <v>172</v>
      </c>
      <c r="K24" s="90">
        <v>5</v>
      </c>
      <c r="L24" s="87">
        <f>VLOOKUP(K24,Reinigungstage!$A$10:$D$31,4,FALSE)</f>
        <v>187</v>
      </c>
      <c r="M24" s="87">
        <f t="shared" si="7"/>
        <v>3741.87</v>
      </c>
      <c r="N24" s="91">
        <f>VLOOKUP(J24,'Lei Unter TH OS Nossen'!$A$6:$B$14,2,0)</f>
        <v>0</v>
      </c>
      <c r="O24" s="92" t="str">
        <f ca="1">'SVS UnterhaltsRG'!$H$61</f>
        <v/>
      </c>
      <c r="P24" s="87">
        <f t="shared" si="3"/>
        <v>0</v>
      </c>
      <c r="Q24" s="87">
        <f t="shared" si="8"/>
        <v>0</v>
      </c>
      <c r="R24" s="87">
        <f t="shared" si="9"/>
        <v>0</v>
      </c>
      <c r="S24" s="87">
        <f t="shared" si="10"/>
        <v>0</v>
      </c>
    </row>
    <row r="25" spans="1:19" x14ac:dyDescent="0.25">
      <c r="A25" s="62">
        <v>22</v>
      </c>
      <c r="B25" s="89" t="s">
        <v>271</v>
      </c>
      <c r="C25" s="89" t="s">
        <v>196</v>
      </c>
      <c r="D25" s="89" t="s">
        <v>226</v>
      </c>
      <c r="E25" s="62" t="s">
        <v>349</v>
      </c>
      <c r="F25" s="62" t="s">
        <v>200</v>
      </c>
      <c r="G25" s="106">
        <v>9.92</v>
      </c>
      <c r="H25" s="87"/>
      <c r="I25" s="87"/>
      <c r="J25" s="89" t="s">
        <v>169</v>
      </c>
      <c r="K25" s="90">
        <v>5</v>
      </c>
      <c r="L25" s="87">
        <f>VLOOKUP(K25,Reinigungstage!$A$10:$D$31,4,FALSE)</f>
        <v>187</v>
      </c>
      <c r="M25" s="87">
        <f t="shared" si="7"/>
        <v>1855.04</v>
      </c>
      <c r="N25" s="91">
        <f>VLOOKUP(J25,'Lei Unter TH OS Nossen'!$A$6:$B$14,2,0)</f>
        <v>0</v>
      </c>
      <c r="O25" s="92" t="str">
        <f ca="1">'SVS UnterhaltsRG'!$H$61</f>
        <v/>
      </c>
      <c r="P25" s="87">
        <f t="shared" si="3"/>
        <v>0</v>
      </c>
      <c r="Q25" s="87">
        <f t="shared" si="8"/>
        <v>0</v>
      </c>
      <c r="R25" s="87">
        <f t="shared" si="9"/>
        <v>0</v>
      </c>
      <c r="S25" s="87">
        <f t="shared" si="10"/>
        <v>0</v>
      </c>
    </row>
    <row r="26" spans="1:19" x14ac:dyDescent="0.25">
      <c r="A26" s="62">
        <v>23</v>
      </c>
      <c r="B26" s="89" t="s">
        <v>272</v>
      </c>
      <c r="C26" s="89" t="s">
        <v>196</v>
      </c>
      <c r="D26" s="89" t="s">
        <v>226</v>
      </c>
      <c r="E26" s="62" t="s">
        <v>350</v>
      </c>
      <c r="F26" s="62" t="s">
        <v>200</v>
      </c>
      <c r="G26" s="106">
        <v>1.55</v>
      </c>
      <c r="H26" s="87"/>
      <c r="I26" s="87"/>
      <c r="J26" s="89" t="s">
        <v>169</v>
      </c>
      <c r="K26" s="90">
        <v>5</v>
      </c>
      <c r="L26" s="87">
        <f>VLOOKUP(K26,Reinigungstage!$A$10:$D$31,4,FALSE)</f>
        <v>187</v>
      </c>
      <c r="M26" s="87">
        <f t="shared" si="7"/>
        <v>289.85000000000002</v>
      </c>
      <c r="N26" s="91">
        <f>VLOOKUP(J26,'Lei Unter TH OS Nossen'!$A$6:$B$14,2,0)</f>
        <v>0</v>
      </c>
      <c r="O26" s="92" t="str">
        <f ca="1">'SVS UnterhaltsRG'!$H$61</f>
        <v/>
      </c>
      <c r="P26" s="87">
        <f t="shared" si="3"/>
        <v>0</v>
      </c>
      <c r="Q26" s="87">
        <f t="shared" si="8"/>
        <v>0</v>
      </c>
      <c r="R26" s="87">
        <f t="shared" si="9"/>
        <v>0</v>
      </c>
      <c r="S26" s="87">
        <f t="shared" si="10"/>
        <v>0</v>
      </c>
    </row>
    <row r="27" spans="1:19" x14ac:dyDescent="0.25">
      <c r="A27" s="62">
        <v>24</v>
      </c>
      <c r="B27" s="89" t="s">
        <v>276</v>
      </c>
      <c r="C27" s="89" t="s">
        <v>196</v>
      </c>
      <c r="D27" s="89" t="s">
        <v>226</v>
      </c>
      <c r="E27" s="62" t="s">
        <v>351</v>
      </c>
      <c r="F27" s="62" t="s">
        <v>200</v>
      </c>
      <c r="G27" s="106">
        <v>10.27</v>
      </c>
      <c r="H27" s="87"/>
      <c r="I27" s="87"/>
      <c r="J27" s="89" t="s">
        <v>169</v>
      </c>
      <c r="K27" s="90">
        <v>5</v>
      </c>
      <c r="L27" s="87">
        <f>VLOOKUP(K27,Reinigungstage!$A$10:$D$31,4,FALSE)</f>
        <v>187</v>
      </c>
      <c r="M27" s="87">
        <f t="shared" si="7"/>
        <v>1920.49</v>
      </c>
      <c r="N27" s="91">
        <f>VLOOKUP(J27,'Lei Unter TH OS Nossen'!$A$6:$B$14,2,0)</f>
        <v>0</v>
      </c>
      <c r="O27" s="92" t="str">
        <f ca="1">'SVS UnterhaltsRG'!$H$61</f>
        <v/>
      </c>
      <c r="P27" s="87">
        <f t="shared" si="3"/>
        <v>0</v>
      </c>
      <c r="Q27" s="87">
        <f t="shared" si="8"/>
        <v>0</v>
      </c>
      <c r="R27" s="87">
        <f t="shared" si="9"/>
        <v>0</v>
      </c>
      <c r="S27" s="87">
        <f t="shared" si="10"/>
        <v>0</v>
      </c>
    </row>
    <row r="28" spans="1:19" x14ac:dyDescent="0.25">
      <c r="A28" s="62">
        <v>25</v>
      </c>
      <c r="B28" s="89" t="s">
        <v>277</v>
      </c>
      <c r="C28" s="89" t="s">
        <v>196</v>
      </c>
      <c r="D28" s="89" t="s">
        <v>226</v>
      </c>
      <c r="E28" s="62" t="s">
        <v>352</v>
      </c>
      <c r="F28" s="62" t="s">
        <v>200</v>
      </c>
      <c r="G28" s="109">
        <v>19.13</v>
      </c>
      <c r="H28" s="87"/>
      <c r="I28" s="87"/>
      <c r="J28" s="89" t="s">
        <v>172</v>
      </c>
      <c r="K28" s="90">
        <v>5</v>
      </c>
      <c r="L28" s="87">
        <f>VLOOKUP(K28,Reinigungstage!$A$10:$D$31,4,FALSE)</f>
        <v>187</v>
      </c>
      <c r="M28" s="87">
        <f t="shared" si="7"/>
        <v>3577.31</v>
      </c>
      <c r="N28" s="91">
        <f>VLOOKUP(J28,'Lei Unter TH OS Nossen'!$A$6:$B$14,2,0)</f>
        <v>0</v>
      </c>
      <c r="O28" s="92" t="str">
        <f ca="1">'SVS UnterhaltsRG'!$H$61</f>
        <v/>
      </c>
      <c r="P28" s="87">
        <f t="shared" si="3"/>
        <v>0</v>
      </c>
      <c r="Q28" s="87">
        <f t="shared" si="8"/>
        <v>0</v>
      </c>
      <c r="R28" s="87">
        <f t="shared" si="9"/>
        <v>0</v>
      </c>
      <c r="S28" s="87">
        <f t="shared" si="10"/>
        <v>0</v>
      </c>
    </row>
    <row r="29" spans="1:19" x14ac:dyDescent="0.25">
      <c r="A29" s="62">
        <v>26</v>
      </c>
      <c r="B29" s="89" t="s">
        <v>275</v>
      </c>
      <c r="C29" s="89" t="s">
        <v>196</v>
      </c>
      <c r="D29" s="89" t="s">
        <v>226</v>
      </c>
      <c r="E29" s="62" t="s">
        <v>353</v>
      </c>
      <c r="F29" s="62" t="s">
        <v>200</v>
      </c>
      <c r="G29" s="106">
        <v>1.55</v>
      </c>
      <c r="H29" s="87"/>
      <c r="I29" s="87"/>
      <c r="J29" s="89" t="s">
        <v>169</v>
      </c>
      <c r="K29" s="90">
        <v>5</v>
      </c>
      <c r="L29" s="87">
        <f>VLOOKUP(K29,Reinigungstage!$A$10:$D$31,4,FALSE)</f>
        <v>187</v>
      </c>
      <c r="M29" s="87">
        <f t="shared" si="7"/>
        <v>289.85000000000002</v>
      </c>
      <c r="N29" s="91">
        <f>VLOOKUP(J29,'Lei Unter TH OS Nossen'!$A$6:$B$14,2,0)</f>
        <v>0</v>
      </c>
      <c r="O29" s="92" t="str">
        <f ca="1">'SVS UnterhaltsRG'!$H$61</f>
        <v/>
      </c>
      <c r="P29" s="87">
        <f t="shared" si="3"/>
        <v>0</v>
      </c>
      <c r="Q29" s="87">
        <f t="shared" si="8"/>
        <v>0</v>
      </c>
      <c r="R29" s="87">
        <f t="shared" si="9"/>
        <v>0</v>
      </c>
      <c r="S29" s="87">
        <f t="shared" si="10"/>
        <v>0</v>
      </c>
    </row>
    <row r="30" spans="1:19" x14ac:dyDescent="0.25">
      <c r="A30" s="62">
        <v>27</v>
      </c>
      <c r="B30" s="89" t="s">
        <v>273</v>
      </c>
      <c r="C30" s="89" t="s">
        <v>196</v>
      </c>
      <c r="D30" s="89" t="s">
        <v>226</v>
      </c>
      <c r="E30" s="62" t="s">
        <v>354</v>
      </c>
      <c r="F30" s="62" t="s">
        <v>200</v>
      </c>
      <c r="G30" s="106">
        <v>1.55</v>
      </c>
      <c r="H30" s="87"/>
      <c r="I30" s="87"/>
      <c r="J30" s="89" t="s">
        <v>169</v>
      </c>
      <c r="K30" s="90">
        <v>5</v>
      </c>
      <c r="L30" s="87">
        <f>VLOOKUP(K30,Reinigungstage!$A$10:$D$31,4,FALSE)</f>
        <v>187</v>
      </c>
      <c r="M30" s="87">
        <f t="shared" si="7"/>
        <v>289.85000000000002</v>
      </c>
      <c r="N30" s="91">
        <f>VLOOKUP(J30,'Lei Unter TH OS Nossen'!$A$6:$B$14,2,0)</f>
        <v>0</v>
      </c>
      <c r="O30" s="92" t="str">
        <f ca="1">'SVS UnterhaltsRG'!$H$61</f>
        <v/>
      </c>
      <c r="P30" s="87">
        <f t="shared" si="3"/>
        <v>0</v>
      </c>
      <c r="Q30" s="87">
        <f t="shared" si="8"/>
        <v>0</v>
      </c>
      <c r="R30" s="87">
        <f t="shared" si="9"/>
        <v>0</v>
      </c>
      <c r="S30" s="87">
        <f t="shared" si="10"/>
        <v>0</v>
      </c>
    </row>
    <row r="31" spans="1:19" x14ac:dyDescent="0.25">
      <c r="A31" s="62">
        <v>28</v>
      </c>
      <c r="B31" s="93" t="s">
        <v>274</v>
      </c>
      <c r="C31" s="89" t="s">
        <v>196</v>
      </c>
      <c r="D31" s="89" t="s">
        <v>226</v>
      </c>
      <c r="E31" s="62" t="s">
        <v>355</v>
      </c>
      <c r="F31" s="62" t="s">
        <v>200</v>
      </c>
      <c r="G31" s="87">
        <v>1.55</v>
      </c>
      <c r="H31" s="87"/>
      <c r="I31" s="87"/>
      <c r="J31" s="89" t="s">
        <v>169</v>
      </c>
      <c r="K31" s="90">
        <v>5</v>
      </c>
      <c r="L31" s="87">
        <f>VLOOKUP(K31,Reinigungstage!$A$10:$D$31,4,FALSE)</f>
        <v>187</v>
      </c>
      <c r="M31" s="87">
        <f t="shared" si="7"/>
        <v>289.85000000000002</v>
      </c>
      <c r="N31" s="91">
        <f>VLOOKUP(J31,'Lei Unter TH OS Nossen'!$A$6:$B$14,2,0)</f>
        <v>0</v>
      </c>
      <c r="O31" s="92" t="str">
        <f ca="1">'SVS UnterhaltsRG'!$H$61</f>
        <v/>
      </c>
      <c r="P31" s="87">
        <f t="shared" si="3"/>
        <v>0</v>
      </c>
      <c r="Q31" s="87">
        <f t="shared" si="8"/>
        <v>0</v>
      </c>
      <c r="R31" s="87">
        <f t="shared" si="9"/>
        <v>0</v>
      </c>
      <c r="S31" s="87">
        <f t="shared" si="10"/>
        <v>0</v>
      </c>
    </row>
    <row r="32" spans="1:19" x14ac:dyDescent="0.25">
      <c r="A32" s="62">
        <v>29</v>
      </c>
      <c r="B32" s="89" t="s">
        <v>267</v>
      </c>
      <c r="C32" s="89" t="s">
        <v>196</v>
      </c>
      <c r="D32" s="89" t="s">
        <v>226</v>
      </c>
      <c r="E32" s="62" t="s">
        <v>356</v>
      </c>
      <c r="F32" s="62" t="s">
        <v>200</v>
      </c>
      <c r="G32" s="87">
        <v>31.32</v>
      </c>
      <c r="H32" s="87"/>
      <c r="I32" s="87">
        <v>1</v>
      </c>
      <c r="J32" s="89" t="s">
        <v>174</v>
      </c>
      <c r="K32" s="90">
        <v>5</v>
      </c>
      <c r="L32" s="87">
        <f>VLOOKUP(K32,Reinigungstage!$A$10:$D$31,4,FALSE)</f>
        <v>187</v>
      </c>
      <c r="M32" s="87">
        <f t="shared" si="7"/>
        <v>5856.84</v>
      </c>
      <c r="N32" s="91">
        <f>VLOOKUP(J32,'Lei Unter TH OS Nossen'!$A$6:$B$14,2,0)</f>
        <v>0</v>
      </c>
      <c r="O32" s="92" t="str">
        <f ca="1">'SVS UnterhaltsRG'!$H$61</f>
        <v/>
      </c>
      <c r="P32" s="87">
        <f t="shared" si="3"/>
        <v>0</v>
      </c>
      <c r="Q32" s="87">
        <f t="shared" si="8"/>
        <v>0</v>
      </c>
      <c r="R32" s="87">
        <f t="shared" si="9"/>
        <v>0</v>
      </c>
      <c r="S32" s="87">
        <f t="shared" si="10"/>
        <v>0</v>
      </c>
    </row>
    <row r="33" spans="1:19" x14ac:dyDescent="0.25">
      <c r="A33" s="62">
        <v>30</v>
      </c>
      <c r="B33" s="93" t="s">
        <v>369</v>
      </c>
      <c r="C33" s="89" t="s">
        <v>196</v>
      </c>
      <c r="D33" s="89" t="s">
        <v>226</v>
      </c>
      <c r="E33" s="62" t="s">
        <v>357</v>
      </c>
      <c r="F33" s="62" t="s">
        <v>200</v>
      </c>
      <c r="G33" s="87">
        <v>5.52</v>
      </c>
      <c r="H33" s="87"/>
      <c r="I33" s="87"/>
      <c r="J33" s="89" t="s">
        <v>169</v>
      </c>
      <c r="K33" s="90">
        <v>5</v>
      </c>
      <c r="L33" s="87">
        <f>VLOOKUP(K33,Reinigungstage!$A$10:$D$31,4,FALSE)</f>
        <v>187</v>
      </c>
      <c r="M33" s="87">
        <f t="shared" si="7"/>
        <v>1032.24</v>
      </c>
      <c r="N33" s="91">
        <f>VLOOKUP(J33,'Lei Unter TH OS Nossen'!$A$6:$B$14,2,0)</f>
        <v>0</v>
      </c>
      <c r="O33" s="92" t="str">
        <f ca="1">'SVS UnterhaltsRG'!$H$61</f>
        <v/>
      </c>
      <c r="P33" s="87">
        <f t="shared" si="3"/>
        <v>0</v>
      </c>
      <c r="Q33" s="87">
        <f t="shared" si="8"/>
        <v>0</v>
      </c>
      <c r="R33" s="87">
        <f t="shared" si="9"/>
        <v>0</v>
      </c>
      <c r="S33" s="87">
        <f t="shared" si="10"/>
        <v>0</v>
      </c>
    </row>
    <row r="34" spans="1:19" x14ac:dyDescent="0.25">
      <c r="A34" s="62">
        <v>31</v>
      </c>
      <c r="B34" s="89" t="s">
        <v>280</v>
      </c>
      <c r="C34" s="89" t="s">
        <v>196</v>
      </c>
      <c r="D34" s="89" t="s">
        <v>226</v>
      </c>
      <c r="E34" s="62" t="s">
        <v>358</v>
      </c>
      <c r="F34" s="62" t="s">
        <v>200</v>
      </c>
      <c r="G34" s="87">
        <v>4.3899999999999997</v>
      </c>
      <c r="H34" s="87"/>
      <c r="I34" s="87"/>
      <c r="J34" s="89" t="s">
        <v>169</v>
      </c>
      <c r="K34" s="90">
        <v>5</v>
      </c>
      <c r="L34" s="87">
        <f>VLOOKUP(K34,Reinigungstage!$A$10:$D$31,4,FALSE)</f>
        <v>187</v>
      </c>
      <c r="M34" s="87">
        <f t="shared" si="7"/>
        <v>820.93</v>
      </c>
      <c r="N34" s="91">
        <f>VLOOKUP(J34,'Lei Unter TH OS Nossen'!$A$6:$B$14,2,0)</f>
        <v>0</v>
      </c>
      <c r="O34" s="92" t="str">
        <f ca="1">'SVS UnterhaltsRG'!$H$61</f>
        <v/>
      </c>
      <c r="P34" s="87">
        <f t="shared" si="3"/>
        <v>0</v>
      </c>
      <c r="Q34" s="87">
        <f t="shared" si="8"/>
        <v>0</v>
      </c>
      <c r="R34" s="87">
        <f t="shared" si="9"/>
        <v>0</v>
      </c>
      <c r="S34" s="87">
        <f t="shared" si="10"/>
        <v>0</v>
      </c>
    </row>
    <row r="35" spans="1:19" x14ac:dyDescent="0.25">
      <c r="A35" s="62">
        <v>32</v>
      </c>
      <c r="B35" s="89" t="s">
        <v>371</v>
      </c>
      <c r="C35" s="89" t="s">
        <v>196</v>
      </c>
      <c r="D35" s="89" t="s">
        <v>226</v>
      </c>
      <c r="E35" s="62" t="s">
        <v>359</v>
      </c>
      <c r="F35" s="62" t="s">
        <v>197</v>
      </c>
      <c r="G35" s="106">
        <v>7.53</v>
      </c>
      <c r="H35" s="87"/>
      <c r="I35" s="87"/>
      <c r="J35" s="89" t="s">
        <v>168</v>
      </c>
      <c r="K35" s="90">
        <v>5</v>
      </c>
      <c r="L35" s="87">
        <f>VLOOKUP(K35,Reinigungstage!$A$10:$D$31,4,FALSE)</f>
        <v>187</v>
      </c>
      <c r="M35" s="87">
        <f t="shared" si="7"/>
        <v>1408.11</v>
      </c>
      <c r="N35" s="91">
        <f>VLOOKUP(J35,'Lei Unter TH OS Nossen'!$A$6:$B$14,2,0)</f>
        <v>0</v>
      </c>
      <c r="O35" s="92" t="str">
        <f ca="1">'SVS UnterhaltsRG'!$H$61</f>
        <v/>
      </c>
      <c r="P35" s="87">
        <f t="shared" si="3"/>
        <v>0</v>
      </c>
      <c r="Q35" s="87">
        <f t="shared" si="8"/>
        <v>0</v>
      </c>
      <c r="R35" s="87">
        <f t="shared" si="9"/>
        <v>0</v>
      </c>
      <c r="S35" s="87">
        <f t="shared" si="10"/>
        <v>0</v>
      </c>
    </row>
    <row r="36" spans="1:19" x14ac:dyDescent="0.25">
      <c r="A36" s="62">
        <v>33</v>
      </c>
      <c r="B36" s="89" t="s">
        <v>370</v>
      </c>
      <c r="C36" s="89" t="s">
        <v>196</v>
      </c>
      <c r="D36" s="89" t="s">
        <v>226</v>
      </c>
      <c r="E36" s="62" t="s">
        <v>360</v>
      </c>
      <c r="F36" s="62" t="s">
        <v>197</v>
      </c>
      <c r="G36" s="106">
        <v>2.2999999999999998</v>
      </c>
      <c r="H36" s="87"/>
      <c r="I36" s="87"/>
      <c r="J36" s="89" t="s">
        <v>170</v>
      </c>
      <c r="K36" s="90">
        <v>1</v>
      </c>
      <c r="L36" s="87">
        <f>VLOOKUP(K36,Reinigungstage!$A$10:$D$31,4,FALSE)</f>
        <v>38.85</v>
      </c>
      <c r="M36" s="87">
        <f t="shared" si="7"/>
        <v>89.36</v>
      </c>
      <c r="N36" s="91">
        <f>VLOOKUP(J36,'Lei Unter TH OS Nossen'!$A$6:$B$14,2,0)</f>
        <v>0</v>
      </c>
      <c r="O36" s="92" t="str">
        <f ca="1">'SVS UnterhaltsRG'!$H$61</f>
        <v/>
      </c>
      <c r="P36" s="87">
        <f t="shared" si="3"/>
        <v>0</v>
      </c>
      <c r="Q36" s="87">
        <f t="shared" si="8"/>
        <v>0</v>
      </c>
      <c r="R36" s="87">
        <f t="shared" si="9"/>
        <v>0</v>
      </c>
      <c r="S36" s="87">
        <f t="shared" si="10"/>
        <v>0</v>
      </c>
    </row>
    <row r="37" spans="1:19" ht="21" x14ac:dyDescent="0.25">
      <c r="A37" s="62">
        <v>34</v>
      </c>
      <c r="B37" s="89" t="s">
        <v>279</v>
      </c>
      <c r="C37" s="89" t="s">
        <v>196</v>
      </c>
      <c r="D37" s="89" t="s">
        <v>226</v>
      </c>
      <c r="E37" s="62" t="s">
        <v>361</v>
      </c>
      <c r="F37" s="62" t="s">
        <v>227</v>
      </c>
      <c r="G37" s="106">
        <v>46.74</v>
      </c>
      <c r="H37" s="87"/>
      <c r="I37" s="87"/>
      <c r="J37" s="89" t="s">
        <v>170</v>
      </c>
      <c r="K37" s="90" t="s">
        <v>216</v>
      </c>
      <c r="L37" s="87">
        <f>VLOOKUP(K37,Reinigungstage!$A$10:$D$31,4,FALSE)</f>
        <v>4</v>
      </c>
      <c r="M37" s="87">
        <f t="shared" si="7"/>
        <v>186.96</v>
      </c>
      <c r="N37" s="91">
        <f>VLOOKUP(J37,'Lei Unter TH OS Nossen'!$A$6:$B$14,2,0)</f>
        <v>0</v>
      </c>
      <c r="O37" s="92" t="str">
        <f ca="1">'SVS UnterhaltsRG'!$H$61</f>
        <v/>
      </c>
      <c r="P37" s="87">
        <f t="shared" si="3"/>
        <v>0</v>
      </c>
      <c r="Q37" s="87">
        <f t="shared" si="8"/>
        <v>0</v>
      </c>
      <c r="R37" s="87">
        <f t="shared" si="9"/>
        <v>0</v>
      </c>
      <c r="S37" s="87">
        <f t="shared" si="10"/>
        <v>0</v>
      </c>
    </row>
    <row r="38" spans="1:19" x14ac:dyDescent="0.25">
      <c r="A38" s="62">
        <v>35</v>
      </c>
      <c r="B38" s="89" t="s">
        <v>278</v>
      </c>
      <c r="C38" s="89" t="s">
        <v>196</v>
      </c>
      <c r="D38" s="89" t="s">
        <v>226</v>
      </c>
      <c r="E38" s="62" t="s">
        <v>362</v>
      </c>
      <c r="F38" s="62" t="s">
        <v>200</v>
      </c>
      <c r="G38" s="106">
        <v>18.09</v>
      </c>
      <c r="H38" s="87"/>
      <c r="I38" s="87"/>
      <c r="J38" s="89" t="s">
        <v>170</v>
      </c>
      <c r="K38" s="90" t="s">
        <v>216</v>
      </c>
      <c r="L38" s="87">
        <f>VLOOKUP(K38,Reinigungstage!$A$10:$D$31,4,FALSE)</f>
        <v>4</v>
      </c>
      <c r="M38" s="87">
        <f t="shared" si="7"/>
        <v>72.36</v>
      </c>
      <c r="N38" s="91">
        <f>VLOOKUP(J38,'Lei Unter TH OS Nossen'!$A$6:$B$14,2,0)</f>
        <v>0</v>
      </c>
      <c r="O38" s="92" t="str">
        <f ca="1">'SVS UnterhaltsRG'!$H$61</f>
        <v/>
      </c>
      <c r="P38" s="87">
        <f t="shared" si="3"/>
        <v>0</v>
      </c>
      <c r="Q38" s="87">
        <f t="shared" si="8"/>
        <v>0</v>
      </c>
      <c r="R38" s="87">
        <f t="shared" si="9"/>
        <v>0</v>
      </c>
      <c r="S38" s="87">
        <f t="shared" si="10"/>
        <v>0</v>
      </c>
    </row>
    <row r="39" spans="1:19" ht="21" x14ac:dyDescent="0.25">
      <c r="A39" s="62">
        <v>36</v>
      </c>
      <c r="B39" s="89" t="s">
        <v>411</v>
      </c>
      <c r="C39" s="89" t="s">
        <v>196</v>
      </c>
      <c r="D39" s="89" t="s">
        <v>226</v>
      </c>
      <c r="E39" s="62" t="s">
        <v>410</v>
      </c>
      <c r="F39" s="62" t="s">
        <v>227</v>
      </c>
      <c r="G39" s="109">
        <v>968</v>
      </c>
      <c r="H39" s="87"/>
      <c r="I39" s="87"/>
      <c r="J39" s="89" t="s">
        <v>409</v>
      </c>
      <c r="K39" s="90">
        <v>2</v>
      </c>
      <c r="L39" s="87">
        <f>VLOOKUP(K39,Reinigungstage!$A$10:$D$31,4,FALSE)</f>
        <v>77.7</v>
      </c>
      <c r="M39" s="87">
        <f t="shared" ref="M39" si="11">ROUND(IF(L39=0,0,L39*G39),2)</f>
        <v>75213.600000000006</v>
      </c>
      <c r="N39" s="91">
        <f>VLOOKUP(J39,'Lei Unter TH OS Nossen'!$A$6:$B$14,2,0)</f>
        <v>0</v>
      </c>
      <c r="O39" s="92" t="str">
        <f ca="1">'SVS UnterhaltsRG'!$H$61</f>
        <v/>
      </c>
      <c r="P39" s="87">
        <f t="shared" ref="P39" si="12">ROUND(IF(N39=0,0,M39/N39),2)</f>
        <v>0</v>
      </c>
      <c r="Q39" s="87">
        <f t="shared" ref="Q39" si="13">ROUND(IF(P39=0,0,P39*O39),2)</f>
        <v>0</v>
      </c>
      <c r="R39" s="87">
        <f t="shared" ref="R39" si="14">ROUND(IF(P39=0,0,P39/L39),2)</f>
        <v>0</v>
      </c>
      <c r="S39" s="87">
        <f t="shared" ref="S39" si="15">ROUND(IF(Q39=0,0,Q39/L39),2)</f>
        <v>0</v>
      </c>
    </row>
  </sheetData>
  <sheetProtection algorithmName="SHA-512" hashValue="ooeaY1UvANwCkFv8rSoTipulV2/y5qefbAmic8Q0Zu3DgQvCyzZbXhckT7qRT6BxdRHhNh4iOVlfArHESvWZ8g==" saltValue="bst0NTMF3fnrZkidq/Uk+w==" spinCount="100000" sheet="1" objects="1" scenarios="1" formatCells="0" formatColumns="0" formatRows="0" insertColumns="0" insertRows="0" insertHyperlinks="0" deleteColumns="0" deleteRows="0"/>
  <phoneticPr fontId="20" type="noConversion"/>
  <hyperlinks>
    <hyperlink ref="M1" location="Inhaltsverzeichnis!A1" display="Zurück zum Inhaltsverzeichnis" xr:uid="{4A18A654-1DE1-4F04-B3BB-42677B3A0C97}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1EA9-21C5-46A8-929C-4556FF523A31}">
  <dimension ref="A1:H9"/>
  <sheetViews>
    <sheetView workbookViewId="0">
      <selection activeCell="C6" sqref="C6:C9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161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162</v>
      </c>
      <c r="B3" s="76" t="s">
        <v>414</v>
      </c>
      <c r="C3" s="76"/>
      <c r="D3" s="14"/>
      <c r="E3" s="14"/>
      <c r="F3" s="14"/>
      <c r="G3" s="14"/>
      <c r="H3" s="14"/>
    </row>
    <row r="4" spans="1:8" ht="51" customHeight="1" x14ac:dyDescent="0.25">
      <c r="A4" s="130" t="s">
        <v>163</v>
      </c>
      <c r="B4" s="130"/>
      <c r="C4" s="130"/>
      <c r="D4" s="14"/>
      <c r="E4" s="14"/>
      <c r="F4" s="14"/>
      <c r="G4" s="14"/>
      <c r="H4" s="14"/>
    </row>
    <row r="5" spans="1:8" x14ac:dyDescent="0.25">
      <c r="A5" s="77" t="s">
        <v>164</v>
      </c>
      <c r="B5" s="77" t="s">
        <v>165</v>
      </c>
      <c r="C5" s="77" t="s">
        <v>166</v>
      </c>
      <c r="D5" s="14"/>
      <c r="E5" s="14"/>
      <c r="F5" s="14"/>
      <c r="G5" s="14"/>
      <c r="H5" s="14"/>
    </row>
    <row r="6" spans="1:8" x14ac:dyDescent="0.25">
      <c r="A6" s="78" t="s">
        <v>168</v>
      </c>
      <c r="B6" s="79"/>
      <c r="C6" s="80">
        <f ca="1">SUMIF('Kal Unter GTA OS Nossen'!J6:M51,$A$6,'Kal Unter GTA OS Nossen'!M6:M51)</f>
        <v>16970.25</v>
      </c>
      <c r="D6" s="14"/>
      <c r="E6" s="14"/>
      <c r="F6" s="14"/>
      <c r="G6" s="14"/>
      <c r="H6" s="14"/>
    </row>
    <row r="7" spans="1:8" x14ac:dyDescent="0.25">
      <c r="A7" s="81" t="s">
        <v>169</v>
      </c>
      <c r="B7" s="79"/>
      <c r="C7" s="80">
        <f ca="1">SUMIF('Kal Unter GTA OS Nossen'!J6:M51,$A$7,'Kal Unter GTA OS Nossen'!M6:M51)</f>
        <v>1273.47</v>
      </c>
      <c r="D7" s="14"/>
      <c r="E7" s="14"/>
      <c r="F7" s="14"/>
      <c r="G7" s="14"/>
      <c r="H7" s="14"/>
    </row>
    <row r="8" spans="1:8" x14ac:dyDescent="0.25">
      <c r="A8" s="81" t="s">
        <v>174</v>
      </c>
      <c r="B8" s="79"/>
      <c r="C8" s="80">
        <f ca="1">SUMIF('Kal Unter GTA OS Nossen'!J6:M51,$A$8,'Kal Unter GTA OS Nossen'!M6:M51)</f>
        <v>377.74</v>
      </c>
      <c r="D8" s="14"/>
      <c r="E8" s="14"/>
      <c r="F8" s="14"/>
      <c r="G8" s="14"/>
      <c r="H8" s="14"/>
    </row>
    <row r="9" spans="1:8" x14ac:dyDescent="0.25">
      <c r="A9" s="81" t="s">
        <v>170</v>
      </c>
      <c r="B9" s="79"/>
      <c r="C9" s="80">
        <f ca="1">SUMIF('Kal Unter GTA OS Nossen'!J6:M51,$A$9,'Kal Unter GTA OS Nossen'!M6:M51)</f>
        <v>574.20000000000005</v>
      </c>
      <c r="D9" s="14"/>
      <c r="E9" s="14"/>
      <c r="F9" s="14"/>
      <c r="G9" s="14"/>
      <c r="H9" s="14"/>
    </row>
  </sheetData>
  <sheetProtection algorithmName="SHA-512" hashValue="fb0y2TBlZ8YXnHNMB5xS1IIaOEaSthiJ73UK5iMLf2u6cLlusMRwqietPp1d1kx6xu0x/0inQKIELnhNxtnarA==" saltValue="OyJJ1mIcYno5YjrhBZa8vg==" spinCount="100000" sheet="1" objects="1" scenarios="1" formatCells="0" formatColumns="0" formatRows="0" insertColumns="0" insertRows="0" insertHyperlinks="0" deleteColumns="0" deleteRows="0"/>
  <protectedRanges>
    <protectedRange sqref="B6:B9" name="Bereich1"/>
  </protectedRanges>
  <mergeCells count="1">
    <mergeCell ref="A4:C4"/>
  </mergeCells>
  <hyperlinks>
    <hyperlink ref="C1" location="Inhaltsverzeichnis!A1" display="Zurück zum Inhaltsverzeichnis" xr:uid="{74D27994-5C3A-4E40-91F8-7436309A3D4D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19</vt:i4>
      </vt:variant>
    </vt:vector>
  </HeadingPairs>
  <TitlesOfParts>
    <vt:vector size="19" baseType="lpstr">
      <vt:lpstr>Inhaltsverzeichnis</vt:lpstr>
      <vt:lpstr>Preisübersicht</vt:lpstr>
      <vt:lpstr>SVS UnterhaltsRG</vt:lpstr>
      <vt:lpstr>SVS GrundRG</vt:lpstr>
      <vt:lpstr>Lei Unter OS Nossen</vt:lpstr>
      <vt:lpstr>Kal Unter OS Nossen</vt:lpstr>
      <vt:lpstr>Lei Unter TH OS Nossen</vt:lpstr>
      <vt:lpstr>Kal Unter TH OS Nossen</vt:lpstr>
      <vt:lpstr>Lei Unter GTA OS Nossen</vt:lpstr>
      <vt:lpstr>Kal Unter GTA OS Nossen</vt:lpstr>
      <vt:lpstr>Lei Unter TH OS Nossen (Ferien)</vt:lpstr>
      <vt:lpstr>Kal Unter TH OS Nossen (Ferien)</vt:lpstr>
      <vt:lpstr>Lei Grund OS Nossen</vt:lpstr>
      <vt:lpstr>Kal Grund OS Nossen</vt:lpstr>
      <vt:lpstr>Lei Grund TH OS Nossen</vt:lpstr>
      <vt:lpstr>Kal Grund TH OS Nossen</vt:lpstr>
      <vt:lpstr>Lei Grund GTA OS Nossen</vt:lpstr>
      <vt:lpstr>Kal Grund GTA OS Nossen</vt:lpstr>
      <vt:lpstr>Reinigungstage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Tonndorf, Karen</dc:creator>
  <cp:lastModifiedBy>k.tonndorf@nossen.de</cp:lastModifiedBy>
  <cp:lastPrinted>2025-03-05T07:32:22Z</cp:lastPrinted>
  <dcterms:created xsi:type="dcterms:W3CDTF">2023-12-05T08:22:54Z</dcterms:created>
  <dcterms:modified xsi:type="dcterms:W3CDTF">2025-04-07T08:01:04Z</dcterms:modified>
</cp:coreProperties>
</file>