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yn-Funke-01\Projekte\247_VgV_GS-Krostitz\4_Angebotsphase\4.1_Aufforderung-zur-Angebotsabgabe\P247-1_Aufforderung-Angebotsabgabe\"/>
    </mc:Choice>
  </mc:AlternateContent>
  <xr:revisionPtr revIDLastSave="0" documentId="13_ncr:1_{0D2F6A94-00A8-44EB-A027-34FB04A103C4}" xr6:coauthVersionLast="47" xr6:coauthVersionMax="47" xr10:uidLastSave="{00000000-0000-0000-0000-000000000000}"/>
  <bookViews>
    <workbookView xWindow="-120" yWindow="-120" windowWidth="29040" windowHeight="15990" tabRatio="296" xr2:uid="{00000000-000D-0000-FFFF-FFFF00000000}"/>
  </bookViews>
  <sheets>
    <sheet name="Honorardatenblatt" sheetId="1" r:id="rId1"/>
  </sheets>
  <definedNames>
    <definedName name="_xlnm.Print_Area" localSheetId="0">Honorardatenblatt!$A$1:$F$88</definedName>
    <definedName name="_xlnm.Print_Titles" localSheetId="0">Honorardatenblatt!$1:$7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I15" i="1"/>
  <c r="J17" i="1" s="1"/>
  <c r="I12" i="1"/>
  <c r="J16" i="1" s="1"/>
  <c r="D67" i="1"/>
  <c r="F67" i="1" s="1"/>
  <c r="D66" i="1"/>
  <c r="F66" i="1" s="1"/>
  <c r="D65" i="1"/>
  <c r="F65" i="1" s="1"/>
  <c r="D64" i="1"/>
  <c r="F64" i="1" s="1"/>
  <c r="D63" i="1"/>
  <c r="F63" i="1" s="1"/>
  <c r="D62" i="1"/>
  <c r="F62" i="1" s="1"/>
  <c r="D61" i="1"/>
  <c r="F61" i="1" s="1"/>
  <c r="D55" i="1"/>
  <c r="F55" i="1" s="1"/>
  <c r="D54" i="1"/>
  <c r="F54" i="1" s="1"/>
  <c r="D53" i="1"/>
  <c r="D52" i="1"/>
  <c r="F52" i="1" s="1"/>
  <c r="D51" i="1"/>
  <c r="F51" i="1" s="1"/>
  <c r="D50" i="1"/>
  <c r="F50" i="1" s="1"/>
  <c r="D49" i="1"/>
  <c r="F49" i="1" s="1"/>
  <c r="F41" i="1"/>
  <c r="D43" i="1"/>
  <c r="F43" i="1" s="1"/>
  <c r="D42" i="1"/>
  <c r="F42" i="1" s="1"/>
  <c r="D41" i="1"/>
  <c r="D40" i="1"/>
  <c r="F40" i="1" s="1"/>
  <c r="D39" i="1"/>
  <c r="F39" i="1" s="1"/>
  <c r="D38" i="1"/>
  <c r="F38" i="1" s="1"/>
  <c r="D37" i="1"/>
  <c r="F37" i="1" s="1"/>
  <c r="J12" i="1" l="1"/>
  <c r="J18" i="1" s="1"/>
  <c r="D56" i="1"/>
  <c r="F53" i="1"/>
  <c r="D44" i="1"/>
  <c r="E75" i="1"/>
  <c r="D30" i="1"/>
  <c r="F30" i="1" s="1"/>
  <c r="D29" i="1"/>
  <c r="F29" i="1" s="1"/>
  <c r="D28" i="1"/>
  <c r="F28" i="1" s="1"/>
  <c r="D27" i="1"/>
  <c r="F27" i="1" s="1"/>
  <c r="D25" i="1"/>
  <c r="F25" i="1" s="1"/>
  <c r="D26" i="1"/>
  <c r="F26" i="1" s="1"/>
  <c r="J28" i="1"/>
  <c r="J26" i="1"/>
  <c r="F31" i="1" l="1"/>
  <c r="F44" i="1"/>
  <c r="F45" i="1" s="1"/>
  <c r="F68" i="1"/>
  <c r="F69" i="1" s="1"/>
  <c r="D68" i="1"/>
  <c r="F56" i="1"/>
  <c r="F57" i="1" s="1"/>
  <c r="J29" i="1"/>
  <c r="J31" i="1" s="1"/>
  <c r="F71" i="1" l="1"/>
  <c r="D31" i="1"/>
  <c r="F32" i="1" l="1"/>
  <c r="D17" i="1" l="1"/>
  <c r="F17" i="1" s="1"/>
  <c r="D19" i="1" l="1"/>
  <c r="F19" i="1" s="1"/>
  <c r="D18" i="1"/>
  <c r="F18" i="1" s="1"/>
  <c r="D16" i="1"/>
  <c r="F16" i="1" s="1"/>
  <c r="F15" i="1"/>
  <c r="D14" i="1"/>
  <c r="F14" i="1" s="1"/>
  <c r="D13" i="1"/>
  <c r="F13" i="1" s="1"/>
  <c r="D12" i="1"/>
  <c r="F12" i="1" s="1"/>
  <c r="D11" i="1"/>
  <c r="F11" i="1" l="1"/>
  <c r="F20" i="1" s="1"/>
  <c r="F21" i="1" s="1"/>
  <c r="F82" i="1" s="1"/>
  <c r="D20" i="1"/>
  <c r="F83" i="1" l="1"/>
  <c r="F84" i="1" s="1"/>
  <c r="F85" i="1" s="1"/>
  <c r="F86" i="1" s="1"/>
</calcChain>
</file>

<file path=xl/sharedStrings.xml><?xml version="1.0" encoding="utf-8"?>
<sst xmlns="http://schemas.openxmlformats.org/spreadsheetml/2006/main" count="151" uniqueCount="99">
  <si>
    <t>Leistungsbild</t>
  </si>
  <si>
    <t>Honorarsumme</t>
  </si>
  <si>
    <t>Basis-Honorar</t>
  </si>
  <si>
    <t>Achtung:   Die hellblau hinterlegten Felder sind zwingend auszufüllen!</t>
  </si>
  <si>
    <t>Umsatzsteuer</t>
  </si>
  <si>
    <t>Faktor</t>
  </si>
  <si>
    <t>Netto</t>
  </si>
  <si>
    <t>Brutto</t>
  </si>
  <si>
    <t xml:space="preserve">Gesamthonorar inkl. Nebenkosten </t>
  </si>
  <si>
    <t>lfd. Nr.</t>
  </si>
  <si>
    <t>Nebenkosten</t>
  </si>
  <si>
    <t>Angabe Prozentwert:</t>
  </si>
  <si>
    <t>A.</t>
  </si>
  <si>
    <t>B.</t>
  </si>
  <si>
    <t>C.</t>
  </si>
  <si>
    <t>Stundensatz für:</t>
  </si>
  <si>
    <t>Zu- oder Abschläge auf Basishonorar</t>
  </si>
  <si>
    <t xml:space="preserve">den Auftragnehmer (Geschäftsführung / Gesamtprojektleitung) </t>
  </si>
  <si>
    <t>Stundensatz in Euro netto:</t>
  </si>
  <si>
    <t>D.</t>
  </si>
  <si>
    <t>Anmerkungen / Unterschrift Angebot</t>
  </si>
  <si>
    <t>den Mitarbeiter / Dipl.Ing.  (Architekten / Ingenieure)</t>
  </si>
  <si>
    <t>davon Leistungsphase 7   (  4 %)</t>
  </si>
  <si>
    <t>davon Leistungsphase 9   (  2 %)</t>
  </si>
  <si>
    <t>davon Leistungsphase 8   (32 %)</t>
  </si>
  <si>
    <t>davon Leistungsphase 6   (10 %)</t>
  </si>
  <si>
    <t>davon Leistungsphase 1   (  2 %)</t>
  </si>
  <si>
    <t>davon Leistungsphase 2   (  7 %)</t>
  </si>
  <si>
    <t>davon Leistungsphase 3   (15 %)</t>
  </si>
  <si>
    <t>davon Leistungsphase 4   (  3 %)</t>
  </si>
  <si>
    <t>davon Leistungsphase 5   (25 %)</t>
  </si>
  <si>
    <t xml:space="preserve">Zusammenfassung </t>
  </si>
  <si>
    <t>Technische Zeichner und sonstige Mitarbeiter</t>
  </si>
  <si>
    <t>Honorarerstangebot des Büros  (Angabe Name+Adresse):</t>
  </si>
  <si>
    <r>
      <rPr>
        <u/>
        <sz val="10"/>
        <rFont val="Arial"/>
        <family val="2"/>
      </rPr>
      <t>Grundlagen Honorarerstangebot:</t>
    </r>
    <r>
      <rPr>
        <sz val="10"/>
        <rFont val="Arial"/>
        <family val="2"/>
      </rPr>
      <t xml:space="preserve"> 
siehe Vertragsentwurf und Projektbeschreibung des AG, evtl. Bieterinformationen        
                                                </t>
    </r>
  </si>
  <si>
    <t>G.</t>
  </si>
  <si>
    <t>Pauschalfestpreis</t>
  </si>
  <si>
    <t xml:space="preserve">Brandschutznachweis durch qualifizierten Brandschutzplaner, Brandschutzordnung nach DIN 14096, Feuerwehrpläne sowie Flucht und Rettungswegeplanung        </t>
  </si>
  <si>
    <t>Summe Honorar Brandschutz</t>
  </si>
  <si>
    <t>davon Leistungsphase 1   (  3 %)</t>
  </si>
  <si>
    <t>davon Leistungsphase 2   (10 %)</t>
  </si>
  <si>
    <t>davon Leistungsphase 4   (30 %)</t>
  </si>
  <si>
    <t>davon Leistungsphase 5   (40 %)</t>
  </si>
  <si>
    <t>davon Leistungsphase 6   (  2 %)</t>
  </si>
  <si>
    <t>KG 300</t>
  </si>
  <si>
    <t>KG 400</t>
  </si>
  <si>
    <t>Rest KG 400</t>
  </si>
  <si>
    <t>Summe:</t>
  </si>
  <si>
    <t>55% von KG 300</t>
  </si>
  <si>
    <t>10% von KG 400</t>
  </si>
  <si>
    <t>Netto:</t>
  </si>
  <si>
    <t xml:space="preserve">Summe Grundleistungen OPL Gebäude LPH 1 - 9 (100 %)              </t>
  </si>
  <si>
    <t>Neubau 2,5-zügige Grundschule mit Hort in Krostitz 
Los 1 – Vergabe der Objektplanung Gebäude und Tragwerksplanung sowie Leistungen zum Brandschutz und der Bauphysik</t>
  </si>
  <si>
    <t>Ermittlung der anrechenbaren Kosten - TWP</t>
  </si>
  <si>
    <t>Ermittlung der anrechenbaren Kosten - OPL</t>
  </si>
  <si>
    <t xml:space="preserve">Summe Grundleistung Tragwerksplanung LPH 1-6  (100 %)             </t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</si>
  <si>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127.556,84 Euro netto</t>
    </r>
    <r>
      <rPr>
        <b/>
        <sz val="10"/>
        <rFont val="Arial"/>
        <family val="2"/>
      </rPr>
      <t xml:space="preserve"> </t>
    </r>
    <r>
      <rPr>
        <sz val="8"/>
        <rFont val="Arial"/>
        <family val="2"/>
      </rPr>
      <t>(Basissatz, HZ III, anrechenb. Kosten: 1.904.411,76 Euro netto, bei 100% Leistungsumfang für LP 1-6)</t>
    </r>
    <r>
      <rPr>
        <sz val="10"/>
        <rFont val="Arial"/>
        <family val="2"/>
      </rPr>
      <t xml:space="preserve">
</t>
    </r>
  </si>
  <si>
    <t>Stundensätze gemäß Vertrag §5 (5)</t>
  </si>
  <si>
    <t>davon Leistungsphase 2   (20 %)</t>
  </si>
  <si>
    <t>davon Leistungsphase 3   (40 %)</t>
  </si>
  <si>
    <t>davon Leistungsphase 4   (6 %)</t>
  </si>
  <si>
    <t>davon Leistungsphase 5   (27 %)</t>
  </si>
  <si>
    <t>davon Leistungsphase 7   (  2 %)</t>
  </si>
  <si>
    <t xml:space="preserve">Summe Grundleistungen Tragwerksplanung   </t>
  </si>
  <si>
    <t xml:space="preserve">Summe Grundleistungen OPL Gebäude         </t>
  </si>
  <si>
    <t>C.1.</t>
  </si>
  <si>
    <t>Grundleistungen für Wärmeschutz und Energiebilanzierung</t>
  </si>
  <si>
    <t xml:space="preserve">Summe Grundleistung LPH 1-7  (100 %)             </t>
  </si>
  <si>
    <t>Summe Grundleistungen für Wärmeschutz und Energiebilanzierung</t>
  </si>
  <si>
    <t>C.2.</t>
  </si>
  <si>
    <t>Grundleistungen für Bauakustik</t>
  </si>
  <si>
    <t>Summe Grundleistungen für Bauakustik</t>
  </si>
  <si>
    <t>C.3.</t>
  </si>
  <si>
    <t>Grundleistungen für Raumakustik</t>
  </si>
  <si>
    <t>Summe Grundleistungen für Raumakustik</t>
  </si>
  <si>
    <t>E.</t>
  </si>
  <si>
    <t>E.1.</t>
  </si>
  <si>
    <t>E.2.</t>
  </si>
  <si>
    <t>E.3.</t>
  </si>
  <si>
    <t>F.</t>
  </si>
  <si>
    <t>F.1.</t>
  </si>
  <si>
    <t>F.2.</t>
  </si>
  <si>
    <t>F.3.</t>
  </si>
  <si>
    <t>F.4.</t>
  </si>
  <si>
    <t>F.5.</t>
  </si>
  <si>
    <t>Gesamthonorar ohne Nebenkosten (A.-D.)</t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</si>
  <si>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8.551,08 Euro netto</t>
    </r>
    <r>
      <rPr>
        <b/>
        <sz val="10"/>
        <rFont val="Arial"/>
        <family val="2"/>
      </rPr>
      <t xml:space="preserve"> </t>
    </r>
    <r>
      <rPr>
        <sz val="8"/>
        <rFont val="Arial"/>
        <family val="2"/>
      </rPr>
      <t>(Basissatz, HZ III, anrechenb. Kosten: 4.375.000 Euro netto, bei 100% Leistungsumfang für LP 1-7)</t>
    </r>
    <r>
      <rPr>
        <sz val="10"/>
        <rFont val="Arial"/>
        <family val="2"/>
      </rPr>
      <t xml:space="preserve">
</t>
    </r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</si>
  <si>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14.887,83 Euro netto</t>
    </r>
    <r>
      <rPr>
        <b/>
        <sz val="10"/>
        <rFont val="Arial"/>
        <family val="2"/>
      </rPr>
      <t xml:space="preserve"> </t>
    </r>
    <r>
      <rPr>
        <sz val="8"/>
        <rFont val="Arial"/>
        <family val="2"/>
      </rPr>
      <t>(Basissatz, HZ III, anrechenb. Kosten: 4.375.000 Euro netto, bei 100% Leistungsumfang für LP 1-7)</t>
    </r>
    <r>
      <rPr>
        <sz val="10"/>
        <rFont val="Arial"/>
        <family val="2"/>
      </rPr>
      <t xml:space="preserve">
</t>
    </r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</si>
  <si>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20.754,25 Euro netto</t>
    </r>
    <r>
      <rPr>
        <b/>
        <sz val="10"/>
        <rFont val="Arial"/>
        <family val="2"/>
      </rPr>
      <t xml:space="preserve"> </t>
    </r>
    <r>
      <rPr>
        <sz val="8"/>
        <rFont val="Arial"/>
        <family val="2"/>
      </rPr>
      <t>(Basissatz, HZ III, anrechenb. Kosten: 4.375.000 Euro netto, bei 100% Leistungsumfang für LP 1-7)</t>
    </r>
    <r>
      <rPr>
        <sz val="10"/>
        <rFont val="Arial"/>
        <family val="2"/>
      </rPr>
      <t xml:space="preserve">
</t>
    </r>
  </si>
  <si>
    <t>Summe Grundleistungen für Bauphysik</t>
  </si>
  <si>
    <t>Tragwerksplanung gemäß Vertrag §5 (3)</t>
  </si>
  <si>
    <t>Objektplanung Gebäude gemäß Vertrag §5 (3)</t>
  </si>
  <si>
    <t>Baupyhsik gem. Anl. 1.2 HOAI und Vertrag §5 (3)</t>
  </si>
  <si>
    <t>Brandschutz nach AHO gemäß Vertrag §5 (3)</t>
  </si>
  <si>
    <t>25% von KG 300</t>
  </si>
  <si>
    <r>
      <t>Honorardatenblatt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(Stand 24.07.2024)</t>
    </r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</si>
  <si>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435.512,00 €</t>
    </r>
    <r>
      <rPr>
        <b/>
        <sz val="10"/>
        <rFont val="Arial"/>
        <family val="2"/>
      </rPr>
      <t xml:space="preserve"> </t>
    </r>
    <r>
      <rPr>
        <sz val="8"/>
        <rFont val="Arial"/>
        <family val="2"/>
      </rPr>
      <t>(Basissatz, HZ III, anrechenb. Kosten 4.503.676,47 Euro netto, bei 100% Leistungsumfang für LP 1-9)</t>
    </r>
    <r>
      <rPr>
        <sz val="10"/>
        <rFont val="Arial"/>
        <family val="2"/>
      </rPr>
      <t xml:space="preserve">
</t>
    </r>
  </si>
  <si>
    <t>C.4.</t>
  </si>
  <si>
    <t>Summe Grundleistungen für Bauphysik (Summe aus C.1 bis C.3)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</si>
</sst>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&quot;€ / Std.&quot;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2">
    <xf numFmtId="0" fontId="0" fillId="0" borderId="0" xfId="0"/>
    <xf numFmtId="164" fontId="1" fillId="0" borderId="21" xfId="0" applyNumberFormat="1" applyFont="1" applyBorder="1" applyAlignment="1">
      <alignment vertical="center"/>
    </xf>
    <xf numFmtId="164" fontId="2" fillId="0" borderId="23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9" fillId="0" borderId="0" xfId="0" applyFont="1"/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4" fontId="2" fillId="0" borderId="21" xfId="0" applyNumberFormat="1" applyFont="1" applyBorder="1" applyAlignment="1">
      <alignment horizontal="center" vertical="center"/>
    </xf>
    <xf numFmtId="0" fontId="5" fillId="0" borderId="0" xfId="0" applyFont="1"/>
    <xf numFmtId="164" fontId="1" fillId="0" borderId="13" xfId="0" applyNumberFormat="1" applyFont="1" applyBorder="1" applyAlignment="1">
      <alignment vertical="center"/>
    </xf>
    <xf numFmtId="4" fontId="1" fillId="3" borderId="21" xfId="0" applyNumberFormat="1" applyFont="1" applyFill="1" applyBorder="1" applyAlignment="1" applyProtection="1">
      <alignment horizontal="center" vertical="center"/>
      <protection locked="0"/>
    </xf>
    <xf numFmtId="164" fontId="1" fillId="0" borderId="2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20" xfId="0" applyNumberFormat="1" applyFont="1" applyBorder="1" applyAlignment="1">
      <alignment vertical="center"/>
    </xf>
    <xf numFmtId="164" fontId="2" fillId="0" borderId="25" xfId="0" applyNumberFormat="1" applyFont="1" applyBorder="1" applyAlignment="1">
      <alignment vertical="center"/>
    </xf>
    <xf numFmtId="164" fontId="1" fillId="0" borderId="25" xfId="0" applyNumberFormat="1" applyFont="1" applyBorder="1" applyAlignment="1">
      <alignment vertical="center"/>
    </xf>
    <xf numFmtId="0" fontId="2" fillId="0" borderId="0" xfId="0" applyFont="1" applyAlignment="1">
      <alignment horizontal="center" vertical="top"/>
    </xf>
    <xf numFmtId="0" fontId="2" fillId="0" borderId="17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16" fontId="1" fillId="0" borderId="5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10" fontId="1" fillId="3" borderId="1" xfId="0" applyNumberFormat="1" applyFont="1" applyFill="1" applyBorder="1" applyAlignment="1" applyProtection="1">
      <alignment horizontal="center" vertical="center"/>
      <protection locked="0"/>
    </xf>
    <xf numFmtId="16" fontId="1" fillId="0" borderId="6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" fontId="2" fillId="0" borderId="15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/>
    </xf>
    <xf numFmtId="16" fontId="1" fillId="0" borderId="3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16" fontId="1" fillId="0" borderId="27" xfId="0" applyNumberFormat="1" applyFont="1" applyBorder="1" applyAlignment="1">
      <alignment horizontal="center" vertical="center" wrapText="1"/>
    </xf>
    <xf numFmtId="16" fontId="1" fillId="0" borderId="14" xfId="0" applyNumberFormat="1" applyFont="1" applyBorder="1" applyAlignment="1">
      <alignment horizontal="center" vertical="top" wrapText="1"/>
    </xf>
    <xf numFmtId="16" fontId="1" fillId="0" borderId="1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right" vertical="center"/>
    </xf>
    <xf numFmtId="49" fontId="2" fillId="0" borderId="30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 indent="6"/>
    </xf>
    <xf numFmtId="0" fontId="2" fillId="0" borderId="3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4" xfId="0" applyFont="1" applyBorder="1" applyAlignment="1">
      <alignment vertical="center" wrapText="1"/>
    </xf>
    <xf numFmtId="164" fontId="1" fillId="0" borderId="34" xfId="0" applyNumberFormat="1" applyFont="1" applyBorder="1" applyAlignment="1">
      <alignment vertical="center"/>
    </xf>
    <xf numFmtId="4" fontId="2" fillId="0" borderId="26" xfId="0" applyNumberFormat="1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12" fillId="0" borderId="21" xfId="0" applyFont="1" applyBorder="1" applyAlignment="1">
      <alignment horizontal="left" vertical="center" wrapText="1"/>
    </xf>
    <xf numFmtId="164" fontId="1" fillId="0" borderId="26" xfId="1" applyNumberFormat="1" applyFont="1" applyFill="1" applyBorder="1" applyAlignment="1" applyProtection="1">
      <alignment horizontal="center" vertical="center"/>
    </xf>
    <xf numFmtId="10" fontId="2" fillId="0" borderId="16" xfId="1" applyNumberFormat="1" applyFont="1" applyFill="1" applyBorder="1" applyAlignment="1" applyProtection="1">
      <alignment horizontal="center" vertical="center"/>
    </xf>
    <xf numFmtId="164" fontId="9" fillId="0" borderId="0" xfId="0" applyNumberFormat="1" applyFont="1"/>
    <xf numFmtId="164" fontId="4" fillId="0" borderId="0" xfId="0" applyNumberFormat="1" applyFont="1" applyAlignment="1">
      <alignment vertical="top"/>
    </xf>
    <xf numFmtId="164" fontId="6" fillId="0" borderId="0" xfId="0" applyNumberFormat="1" applyFont="1" applyAlignment="1">
      <alignment vertical="top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top"/>
    </xf>
    <xf numFmtId="164" fontId="2" fillId="0" borderId="0" xfId="0" applyNumberFormat="1" applyFont="1" applyAlignment="1">
      <alignment vertical="center"/>
    </xf>
    <xf numFmtId="164" fontId="5" fillId="0" borderId="0" xfId="0" applyNumberFormat="1" applyFont="1"/>
    <xf numFmtId="0" fontId="13" fillId="0" borderId="0" xfId="0" applyFont="1" applyAlignment="1">
      <alignment horizontal="left" vertical="center"/>
    </xf>
    <xf numFmtId="0" fontId="1" fillId="0" borderId="37" xfId="0" applyFont="1" applyBorder="1" applyAlignment="1">
      <alignment vertical="center"/>
    </xf>
    <xf numFmtId="164" fontId="1" fillId="0" borderId="31" xfId="0" applyNumberFormat="1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164" fontId="1" fillId="0" borderId="12" xfId="0" applyNumberFormat="1" applyFont="1" applyBorder="1"/>
    <xf numFmtId="0" fontId="1" fillId="0" borderId="12" xfId="0" applyFont="1" applyBorder="1" applyAlignment="1">
      <alignment vertical="center"/>
    </xf>
    <xf numFmtId="164" fontId="1" fillId="0" borderId="32" xfId="0" applyNumberFormat="1" applyFont="1" applyBorder="1" applyAlignment="1">
      <alignment vertical="center"/>
    </xf>
    <xf numFmtId="164" fontId="1" fillId="0" borderId="39" xfId="0" applyNumberFormat="1" applyFont="1" applyBorder="1" applyAlignment="1">
      <alignment vertical="center"/>
    </xf>
    <xf numFmtId="164" fontId="1" fillId="0" borderId="16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1" fillId="0" borderId="33" xfId="0" applyNumberFormat="1" applyFont="1" applyBorder="1"/>
    <xf numFmtId="0" fontId="2" fillId="0" borderId="36" xfId="0" applyFont="1" applyBorder="1" applyAlignment="1">
      <alignment vertical="center" wrapText="1"/>
    </xf>
    <xf numFmtId="164" fontId="2" fillId="0" borderId="35" xfId="0" applyNumberFormat="1" applyFont="1" applyBorder="1" applyAlignment="1">
      <alignment vertical="center"/>
    </xf>
    <xf numFmtId="0" fontId="12" fillId="0" borderId="22" xfId="0" applyFont="1" applyBorder="1" applyAlignment="1">
      <alignment horizontal="left" vertical="center" wrapText="1"/>
    </xf>
    <xf numFmtId="49" fontId="2" fillId="2" borderId="40" xfId="0" applyNumberFormat="1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vertical="center"/>
    </xf>
    <xf numFmtId="0" fontId="2" fillId="2" borderId="42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49" fontId="2" fillId="4" borderId="3" xfId="0" applyNumberFormat="1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vertical="center"/>
    </xf>
    <xf numFmtId="0" fontId="2" fillId="4" borderId="22" xfId="0" applyFont="1" applyFill="1" applyBorder="1" applyAlignment="1">
      <alignment vertical="center"/>
    </xf>
    <xf numFmtId="0" fontId="2" fillId="4" borderId="13" xfId="0" applyFont="1" applyFill="1" applyBorder="1" applyAlignment="1">
      <alignment vertical="center"/>
    </xf>
    <xf numFmtId="0" fontId="0" fillId="0" borderId="44" xfId="0" applyBorder="1" applyAlignment="1">
      <alignment vertical="center"/>
    </xf>
    <xf numFmtId="164" fontId="2" fillId="0" borderId="45" xfId="0" applyNumberFormat="1" applyFont="1" applyBorder="1" applyAlignment="1">
      <alignment vertical="center"/>
    </xf>
    <xf numFmtId="0" fontId="1" fillId="3" borderId="29" xfId="0" applyFont="1" applyFill="1" applyBorder="1" applyAlignment="1" applyProtection="1">
      <alignment horizontal="left" vertical="top" wrapText="1"/>
      <protection locked="0"/>
    </xf>
    <xf numFmtId="0" fontId="1" fillId="3" borderId="19" xfId="0" applyFont="1" applyFill="1" applyBorder="1" applyAlignment="1" applyProtection="1">
      <alignment horizontal="left" vertical="top" wrapText="1"/>
      <protection locked="0"/>
    </xf>
    <xf numFmtId="0" fontId="1" fillId="3" borderId="28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165" fontId="1" fillId="3" borderId="24" xfId="0" applyNumberFormat="1" applyFont="1" applyFill="1" applyBorder="1" applyAlignment="1" applyProtection="1">
      <alignment horizontal="center" vertical="center"/>
      <protection locked="0"/>
    </xf>
    <xf numFmtId="165" fontId="1" fillId="3" borderId="28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165" fontId="1" fillId="3" borderId="12" xfId="0" applyNumberFormat="1" applyFont="1" applyFill="1" applyBorder="1" applyAlignment="1" applyProtection="1">
      <alignment horizontal="center" vertical="center"/>
      <protection locked="0"/>
    </xf>
    <xf numFmtId="165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0" fillId="0" borderId="22" xfId="0" applyFont="1" applyBorder="1" applyAlignment="1">
      <alignment horizontal="right" vertical="center" wrapText="1"/>
    </xf>
    <xf numFmtId="0" fontId="10" fillId="0" borderId="21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top" wrapText="1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49" fontId="2" fillId="3" borderId="7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top" wrapText="1"/>
    </xf>
    <xf numFmtId="0" fontId="2" fillId="0" borderId="3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64" fontId="1" fillId="3" borderId="12" xfId="0" applyNumberFormat="1" applyFont="1" applyFill="1" applyBorder="1" applyAlignment="1" applyProtection="1">
      <alignment horizontal="center" vertical="center"/>
      <protection locked="0"/>
    </xf>
    <xf numFmtId="164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0" fontId="2" fillId="4" borderId="12" xfId="0" applyFont="1" applyFill="1" applyBorder="1" applyAlignment="1">
      <alignment horizontal="left" vertical="center"/>
    </xf>
    <xf numFmtId="0" fontId="2" fillId="4" borderId="22" xfId="0" applyFont="1" applyFill="1" applyBorder="1" applyAlignment="1">
      <alignment horizontal="left" vertical="center"/>
    </xf>
    <xf numFmtId="0" fontId="2" fillId="4" borderId="13" xfId="0" applyFont="1" applyFill="1" applyBorder="1" applyAlignment="1">
      <alignment horizontal="left" vertical="center"/>
    </xf>
    <xf numFmtId="164" fontId="1" fillId="0" borderId="37" xfId="0" applyNumberFormat="1" applyFont="1" applyBorder="1"/>
    <xf numFmtId="164" fontId="1" fillId="0" borderId="44" xfId="0" applyNumberFormat="1" applyFont="1" applyBorder="1" applyAlignment="1">
      <alignment vertical="center"/>
    </xf>
    <xf numFmtId="164" fontId="1" fillId="0" borderId="26" xfId="0" applyNumberFormat="1" applyFont="1" applyBorder="1" applyAlignment="1">
      <alignment vertical="center"/>
    </xf>
    <xf numFmtId="0" fontId="2" fillId="0" borderId="3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46" xfId="0" applyBorder="1" applyAlignment="1">
      <alignment vertical="center"/>
    </xf>
    <xf numFmtId="164" fontId="2" fillId="0" borderId="47" xfId="0" applyNumberFormat="1" applyFont="1" applyBorder="1" applyAlignment="1">
      <alignment vertical="center"/>
    </xf>
    <xf numFmtId="16" fontId="1" fillId="4" borderId="3" xfId="0" applyNumberFormat="1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left" vertical="center" wrapText="1"/>
    </xf>
    <xf numFmtId="0" fontId="0" fillId="4" borderId="21" xfId="0" applyFill="1" applyBorder="1" applyAlignment="1">
      <alignment vertical="center"/>
    </xf>
    <xf numFmtId="164" fontId="2" fillId="4" borderId="23" xfId="0" applyNumberFormat="1" applyFont="1" applyFill="1" applyBorder="1" applyAlignment="1">
      <alignment vertical="center"/>
    </xf>
  </cellXfs>
  <cellStyles count="2">
    <cellStyle name="Prozent 2" xfId="1" xr:uid="{00000000-0005-0000-0000-000000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8"/>
  <sheetViews>
    <sheetView tabSelected="1" showRuler="0" topLeftCell="A4" zoomScaleNormal="100" workbookViewId="0">
      <selection activeCell="C4" sqref="C4:F4"/>
    </sheetView>
  </sheetViews>
  <sheetFormatPr baseColWidth="10" defaultColWidth="11.42578125" defaultRowHeight="12.75" x14ac:dyDescent="0.2"/>
  <cols>
    <col min="1" max="1" width="7" style="14" bestFit="1" customWidth="1"/>
    <col min="2" max="2" width="38.140625" style="14" customWidth="1"/>
    <col min="3" max="3" width="15.85546875" style="14" bestFit="1" customWidth="1"/>
    <col min="4" max="4" width="13.5703125" style="14" bestFit="1" customWidth="1"/>
    <col min="5" max="5" width="12.5703125" style="14" customWidth="1"/>
    <col min="6" max="6" width="15.28515625" style="14" customWidth="1"/>
    <col min="7" max="7" width="6.42578125" style="14" customWidth="1"/>
    <col min="8" max="8" width="11.7109375" style="14" bestFit="1" customWidth="1"/>
    <col min="9" max="9" width="16.42578125" style="65" customWidth="1"/>
    <col min="10" max="10" width="16.7109375" style="65" customWidth="1"/>
    <col min="11" max="11" width="17.85546875" style="14" customWidth="1"/>
    <col min="12" max="12" width="11.42578125" style="14"/>
    <col min="13" max="13" width="7.28515625" style="14" bestFit="1" customWidth="1"/>
    <col min="14" max="14" width="14.85546875" style="14" bestFit="1" customWidth="1"/>
    <col min="15" max="15" width="13.28515625" style="14" bestFit="1" customWidth="1"/>
    <col min="16" max="16384" width="11.42578125" style="14"/>
  </cols>
  <sheetData>
    <row r="1" spans="1:16" s="6" customFormat="1" ht="39.75" customHeight="1" x14ac:dyDescent="0.25">
      <c r="A1" s="106" t="s">
        <v>52</v>
      </c>
      <c r="B1" s="106"/>
      <c r="C1" s="106"/>
      <c r="D1" s="106"/>
      <c r="E1" s="105" t="s">
        <v>95</v>
      </c>
      <c r="F1" s="105"/>
      <c r="I1" s="58"/>
      <c r="J1" s="58"/>
    </row>
    <row r="2" spans="1:16" s="7" customFormat="1" ht="31.5" customHeight="1" x14ac:dyDescent="0.2">
      <c r="A2" s="106"/>
      <c r="B2" s="106"/>
      <c r="C2" s="106"/>
      <c r="D2" s="106"/>
      <c r="E2" s="39"/>
      <c r="F2" s="40"/>
      <c r="I2" s="59"/>
      <c r="J2" s="59"/>
    </row>
    <row r="3" spans="1:16" s="7" customFormat="1" ht="16.5" customHeight="1" thickBot="1" x14ac:dyDescent="0.25">
      <c r="A3" s="39"/>
      <c r="B3" s="39"/>
      <c r="C3" s="115" t="s">
        <v>33</v>
      </c>
      <c r="D3" s="115"/>
      <c r="E3" s="115"/>
      <c r="F3" s="115"/>
      <c r="I3" s="59"/>
      <c r="J3" s="59"/>
    </row>
    <row r="4" spans="1:16" s="8" customFormat="1" ht="54" customHeight="1" thickBot="1" x14ac:dyDescent="0.25">
      <c r="A4" s="107" t="s">
        <v>34</v>
      </c>
      <c r="B4" s="108"/>
      <c r="C4" s="112"/>
      <c r="D4" s="113"/>
      <c r="E4" s="113"/>
      <c r="F4" s="114"/>
      <c r="I4" s="60"/>
      <c r="J4" s="60"/>
    </row>
    <row r="5" spans="1:16" s="5" customFormat="1" ht="6" customHeight="1" thickBot="1" x14ac:dyDescent="0.25">
      <c r="A5" s="9"/>
      <c r="B5" s="10"/>
      <c r="C5" s="10"/>
      <c r="D5" s="10"/>
      <c r="E5" s="10"/>
      <c r="F5" s="41"/>
      <c r="I5" s="61"/>
      <c r="J5" s="61"/>
    </row>
    <row r="6" spans="1:16" s="5" customFormat="1" ht="13.5" thickBot="1" x14ac:dyDescent="0.25">
      <c r="A6" s="109" t="s">
        <v>3</v>
      </c>
      <c r="B6" s="110"/>
      <c r="C6" s="110"/>
      <c r="D6" s="110"/>
      <c r="E6" s="110"/>
      <c r="F6" s="111"/>
      <c r="I6" s="61"/>
      <c r="J6" s="61"/>
    </row>
    <row r="7" spans="1:16" s="5" customFormat="1" ht="6" customHeight="1" thickBot="1" x14ac:dyDescent="0.25">
      <c r="A7" s="42"/>
      <c r="B7" s="42"/>
      <c r="C7" s="42"/>
      <c r="D7" s="42"/>
      <c r="E7" s="42"/>
      <c r="F7" s="42"/>
      <c r="I7" s="61"/>
      <c r="J7" s="61"/>
    </row>
    <row r="8" spans="1:16" s="11" customFormat="1" ht="18.75" customHeight="1" x14ac:dyDescent="0.2">
      <c r="A8" s="29" t="s">
        <v>12</v>
      </c>
      <c r="B8" s="52" t="s">
        <v>91</v>
      </c>
      <c r="C8" s="53"/>
      <c r="D8" s="53"/>
      <c r="E8" s="53"/>
      <c r="F8" s="54"/>
      <c r="G8" s="4"/>
      <c r="I8" s="62"/>
      <c r="J8" s="62"/>
    </row>
    <row r="9" spans="1:16" s="22" customFormat="1" ht="21" customHeight="1" x14ac:dyDescent="0.2">
      <c r="A9" s="30" t="s">
        <v>9</v>
      </c>
      <c r="B9" s="116" t="s">
        <v>0</v>
      </c>
      <c r="C9" s="117"/>
      <c r="D9" s="46" t="s">
        <v>2</v>
      </c>
      <c r="E9" s="46" t="s">
        <v>5</v>
      </c>
      <c r="F9" s="47" t="s">
        <v>1</v>
      </c>
      <c r="I9" s="63"/>
      <c r="J9" s="63"/>
    </row>
    <row r="10" spans="1:16" s="12" customFormat="1" ht="50.25" customHeight="1" x14ac:dyDescent="0.2">
      <c r="A10" s="37"/>
      <c r="B10" s="118" t="s">
        <v>96</v>
      </c>
      <c r="C10" s="119"/>
      <c r="D10" s="3">
        <v>435512</v>
      </c>
      <c r="E10" s="35" t="s">
        <v>16</v>
      </c>
      <c r="F10" s="15"/>
      <c r="H10" s="66" t="s">
        <v>54</v>
      </c>
      <c r="I10" s="43"/>
      <c r="J10" s="43"/>
    </row>
    <row r="11" spans="1:16" s="5" customFormat="1" ht="20.100000000000001" customHeight="1" x14ac:dyDescent="0.2">
      <c r="A11" s="25"/>
      <c r="B11" s="45" t="s">
        <v>26</v>
      </c>
      <c r="C11" s="44"/>
      <c r="D11" s="1">
        <f>ROUND(0.02*D$10,2)</f>
        <v>8710.24</v>
      </c>
      <c r="E11" s="16"/>
      <c r="F11" s="15">
        <f>ROUND($D11*E11,2)</f>
        <v>0</v>
      </c>
      <c r="H11" s="140" t="s">
        <v>44</v>
      </c>
      <c r="I11" s="141">
        <v>3675000</v>
      </c>
      <c r="J11" s="73"/>
      <c r="L11" s="12"/>
      <c r="M11" s="12"/>
      <c r="N11" s="12"/>
      <c r="O11" s="12"/>
      <c r="P11" s="12"/>
    </row>
    <row r="12" spans="1:16" s="5" customFormat="1" ht="20.100000000000001" customHeight="1" x14ac:dyDescent="0.2">
      <c r="A12" s="25"/>
      <c r="B12" s="45" t="s">
        <v>27</v>
      </c>
      <c r="C12" s="44"/>
      <c r="D12" s="1">
        <f>ROUND(0.07*D$10,2)</f>
        <v>30485.84</v>
      </c>
      <c r="E12" s="16"/>
      <c r="F12" s="15">
        <f t="shared" ref="F12:F18" si="0">ROUND($D12*E12,2)</f>
        <v>0</v>
      </c>
      <c r="H12" s="70" t="s">
        <v>50</v>
      </c>
      <c r="I12" s="142">
        <f>I11/1.19</f>
        <v>3088235.2941176472</v>
      </c>
      <c r="J12" s="75">
        <f>I12</f>
        <v>3088235.2941176472</v>
      </c>
      <c r="L12" s="12"/>
      <c r="M12" s="12"/>
      <c r="N12" s="12"/>
      <c r="O12" s="12"/>
      <c r="P12" s="12"/>
    </row>
    <row r="13" spans="1:16" s="5" customFormat="1" ht="20.100000000000001" customHeight="1" x14ac:dyDescent="0.2">
      <c r="A13" s="25"/>
      <c r="B13" s="45" t="s">
        <v>28</v>
      </c>
      <c r="C13" s="44"/>
      <c r="D13" s="1">
        <f>ROUND(0.15*D$10,2)</f>
        <v>65326.8</v>
      </c>
      <c r="E13" s="16"/>
      <c r="F13" s="15">
        <f>ROUND($D13*E13,2)</f>
        <v>0</v>
      </c>
      <c r="L13" s="12"/>
      <c r="M13" s="12"/>
      <c r="N13" s="12"/>
      <c r="O13" s="12"/>
      <c r="P13" s="12"/>
    </row>
    <row r="14" spans="1:16" s="5" customFormat="1" ht="20.100000000000001" customHeight="1" x14ac:dyDescent="0.2">
      <c r="A14" s="25"/>
      <c r="B14" s="45" t="s">
        <v>29</v>
      </c>
      <c r="C14" s="44"/>
      <c r="D14" s="1">
        <f>ROUND(0.03*D$10,2)</f>
        <v>13065.36</v>
      </c>
      <c r="E14" s="16"/>
      <c r="F14" s="15">
        <f>ROUND($D14*E14,2)</f>
        <v>0</v>
      </c>
      <c r="H14" s="67" t="s">
        <v>45</v>
      </c>
      <c r="I14" s="68">
        <v>2450000</v>
      </c>
      <c r="J14" s="73"/>
      <c r="L14" s="12"/>
      <c r="M14" s="12"/>
      <c r="N14" s="12"/>
      <c r="O14" s="12"/>
      <c r="P14" s="12"/>
    </row>
    <row r="15" spans="1:16" s="5" customFormat="1" ht="20.100000000000001" customHeight="1" x14ac:dyDescent="0.2">
      <c r="A15" s="25"/>
      <c r="B15" s="45" t="s">
        <v>30</v>
      </c>
      <c r="C15" s="44"/>
      <c r="D15" s="1">
        <f>ROUND(0.25*D$10,2)</f>
        <v>108878</v>
      </c>
      <c r="E15" s="16"/>
      <c r="F15" s="15">
        <f t="shared" si="0"/>
        <v>0</v>
      </c>
      <c r="H15" s="70" t="s">
        <v>50</v>
      </c>
      <c r="I15" s="142">
        <f>I14/1.19</f>
        <v>2058823.5294117648</v>
      </c>
      <c r="J15" s="75"/>
      <c r="L15" s="12"/>
      <c r="M15" s="12"/>
      <c r="N15" s="12"/>
      <c r="O15" s="12"/>
      <c r="P15" s="12"/>
    </row>
    <row r="16" spans="1:16" s="5" customFormat="1" ht="20.100000000000001" customHeight="1" x14ac:dyDescent="0.2">
      <c r="A16" s="25"/>
      <c r="B16" s="45" t="s">
        <v>25</v>
      </c>
      <c r="C16" s="44"/>
      <c r="D16" s="1">
        <f>ROUND(0.1*D$10,2)</f>
        <v>43551.199999999997</v>
      </c>
      <c r="E16" s="16"/>
      <c r="F16" s="15">
        <f>ROUND($D16*E16,2)</f>
        <v>0</v>
      </c>
      <c r="H16" s="69"/>
      <c r="I16" s="61" t="s">
        <v>94</v>
      </c>
      <c r="J16" s="74">
        <f>0.25*I12</f>
        <v>772058.82352941181</v>
      </c>
      <c r="L16" s="12"/>
      <c r="M16" s="12"/>
      <c r="N16" s="12"/>
      <c r="O16" s="12"/>
      <c r="P16" s="12"/>
    </row>
    <row r="17" spans="1:16" s="5" customFormat="1" ht="20.100000000000001" customHeight="1" x14ac:dyDescent="0.2">
      <c r="A17" s="25"/>
      <c r="B17" s="45" t="s">
        <v>22</v>
      </c>
      <c r="C17" s="44"/>
      <c r="D17" s="1">
        <f>ROUND(0.04*D$10,2)</f>
        <v>17420.48</v>
      </c>
      <c r="E17" s="16"/>
      <c r="F17" s="15">
        <f t="shared" si="0"/>
        <v>0</v>
      </c>
      <c r="H17" s="70"/>
      <c r="I17" s="49" t="s">
        <v>46</v>
      </c>
      <c r="J17" s="75">
        <f>(I15-J16)*0.5</f>
        <v>643382.3529411765</v>
      </c>
      <c r="L17" s="12"/>
      <c r="M17" s="12"/>
      <c r="N17" s="12"/>
      <c r="O17" s="12"/>
      <c r="P17" s="12"/>
    </row>
    <row r="18" spans="1:16" s="5" customFormat="1" ht="20.100000000000001" customHeight="1" x14ac:dyDescent="0.2">
      <c r="A18" s="25"/>
      <c r="B18" s="45" t="s">
        <v>24</v>
      </c>
      <c r="C18" s="44"/>
      <c r="D18" s="1">
        <f>ROUND(0.32*D$10,2)</f>
        <v>139363.84</v>
      </c>
      <c r="E18" s="16"/>
      <c r="F18" s="15">
        <f t="shared" si="0"/>
        <v>0</v>
      </c>
      <c r="H18" s="72"/>
      <c r="I18" s="17" t="s">
        <v>47</v>
      </c>
      <c r="J18" s="76">
        <f>SUM(J11:J17)</f>
        <v>4503676.4705882361</v>
      </c>
      <c r="L18" s="12"/>
      <c r="M18" s="12"/>
      <c r="N18" s="12"/>
      <c r="O18" s="12"/>
      <c r="P18" s="12"/>
    </row>
    <row r="19" spans="1:16" s="5" customFormat="1" ht="20.100000000000001" customHeight="1" x14ac:dyDescent="0.2">
      <c r="A19" s="25"/>
      <c r="B19" s="45" t="s">
        <v>23</v>
      </c>
      <c r="C19" s="44"/>
      <c r="D19" s="1">
        <f>ROUND(0.02*D$10,2)</f>
        <v>8710.24</v>
      </c>
      <c r="E19" s="16"/>
      <c r="F19" s="15">
        <f>ROUND($D19*E19,2)</f>
        <v>0</v>
      </c>
      <c r="I19" s="61"/>
      <c r="J19" s="61"/>
      <c r="L19" s="12"/>
      <c r="M19" s="12"/>
      <c r="N19" s="12"/>
      <c r="O19" s="12"/>
      <c r="P19" s="12"/>
    </row>
    <row r="20" spans="1:16" s="5" customFormat="1" ht="20.100000000000001" customHeight="1" x14ac:dyDescent="0.2">
      <c r="A20" s="25"/>
      <c r="B20" s="120" t="s">
        <v>51</v>
      </c>
      <c r="C20" s="121"/>
      <c r="D20" s="3">
        <f>SUM(D11:D19)</f>
        <v>435512</v>
      </c>
      <c r="E20" s="13"/>
      <c r="F20" s="2">
        <f>SUM(F11:F19)</f>
        <v>0</v>
      </c>
      <c r="L20" s="12"/>
      <c r="M20" s="12"/>
      <c r="N20" s="12"/>
      <c r="O20" s="12"/>
      <c r="P20" s="12"/>
    </row>
    <row r="21" spans="1:16" s="5" customFormat="1" ht="20.100000000000001" customHeight="1" thickBot="1" x14ac:dyDescent="0.25">
      <c r="A21" s="28"/>
      <c r="B21" s="124" t="s">
        <v>64</v>
      </c>
      <c r="C21" s="125"/>
      <c r="D21" s="125"/>
      <c r="E21" s="51"/>
      <c r="F21" s="19">
        <f>SUM(F20:F20)</f>
        <v>0</v>
      </c>
      <c r="I21" s="61"/>
      <c r="J21" s="61"/>
      <c r="L21" s="12"/>
      <c r="M21" s="12"/>
      <c r="N21" s="12"/>
      <c r="O21" s="12"/>
      <c r="P21" s="12"/>
    </row>
    <row r="22" spans="1:16" s="11" customFormat="1" ht="19.5" customHeight="1" x14ac:dyDescent="0.2">
      <c r="A22" s="29" t="s">
        <v>13</v>
      </c>
      <c r="B22" s="52" t="s">
        <v>90</v>
      </c>
      <c r="C22" s="53"/>
      <c r="D22" s="53"/>
      <c r="E22" s="53"/>
      <c r="F22" s="54"/>
      <c r="G22" s="4"/>
      <c r="I22" s="62"/>
      <c r="J22" s="62"/>
      <c r="L22" s="12"/>
      <c r="M22" s="12"/>
      <c r="N22" s="12"/>
      <c r="O22" s="12"/>
      <c r="P22" s="12"/>
    </row>
    <row r="23" spans="1:16" s="22" customFormat="1" ht="21" customHeight="1" x14ac:dyDescent="0.2">
      <c r="A23" s="30" t="s">
        <v>9</v>
      </c>
      <c r="B23" s="116" t="s">
        <v>0</v>
      </c>
      <c r="C23" s="117"/>
      <c r="D23" s="46" t="s">
        <v>2</v>
      </c>
      <c r="E23" s="46" t="s">
        <v>5</v>
      </c>
      <c r="F23" s="47" t="s">
        <v>1</v>
      </c>
      <c r="I23" s="63"/>
      <c r="J23" s="63"/>
    </row>
    <row r="24" spans="1:16" s="12" customFormat="1" ht="50.25" customHeight="1" x14ac:dyDescent="0.2">
      <c r="A24" s="37"/>
      <c r="B24" s="118" t="s">
        <v>56</v>
      </c>
      <c r="C24" s="119"/>
      <c r="D24" s="3">
        <v>127556.84</v>
      </c>
      <c r="E24" s="35" t="s">
        <v>16</v>
      </c>
      <c r="F24" s="15"/>
      <c r="H24" s="66" t="s">
        <v>53</v>
      </c>
      <c r="I24" s="43"/>
      <c r="J24" s="43"/>
    </row>
    <row r="25" spans="1:16" s="5" customFormat="1" ht="20.100000000000001" customHeight="1" x14ac:dyDescent="0.2">
      <c r="A25" s="25"/>
      <c r="B25" s="45" t="s">
        <v>39</v>
      </c>
      <c r="C25" s="55"/>
      <c r="D25" s="1">
        <f>ROUND(0.03*D24,2)</f>
        <v>3826.71</v>
      </c>
      <c r="E25" s="16"/>
      <c r="F25" s="15">
        <f>ROUND($D25*E25,2)</f>
        <v>0</v>
      </c>
      <c r="H25" s="71" t="s">
        <v>44</v>
      </c>
      <c r="I25" s="17">
        <v>3675000</v>
      </c>
      <c r="J25" s="73"/>
    </row>
    <row r="26" spans="1:16" s="5" customFormat="1" ht="20.100000000000001" customHeight="1" x14ac:dyDescent="0.2">
      <c r="A26" s="25"/>
      <c r="B26" s="45" t="s">
        <v>40</v>
      </c>
      <c r="C26" s="55"/>
      <c r="D26" s="1">
        <f>ROUND(0.1*D24,2)</f>
        <v>12755.68</v>
      </c>
      <c r="E26" s="16"/>
      <c r="F26" s="15">
        <f>ROUND($D26*E26,2)</f>
        <v>0</v>
      </c>
      <c r="H26" s="77"/>
      <c r="I26" s="49" t="s">
        <v>48</v>
      </c>
      <c r="J26" s="75">
        <f>0.55*I25</f>
        <v>2021250.0000000002</v>
      </c>
    </row>
    <row r="27" spans="1:16" s="5" customFormat="1" ht="20.100000000000001" customHeight="1" x14ac:dyDescent="0.2">
      <c r="A27" s="25"/>
      <c r="B27" s="45" t="s">
        <v>28</v>
      </c>
      <c r="C27" s="55"/>
      <c r="D27" s="1">
        <f>ROUND(0.15*D24,2)</f>
        <v>19133.53</v>
      </c>
      <c r="E27" s="16"/>
      <c r="F27" s="15">
        <f>ROUND($D27*E27,2)</f>
        <v>0</v>
      </c>
      <c r="H27" s="67" t="s">
        <v>45</v>
      </c>
      <c r="I27" s="68">
        <v>2450000</v>
      </c>
      <c r="J27" s="73"/>
    </row>
    <row r="28" spans="1:16" s="5" customFormat="1" ht="20.100000000000001" customHeight="1" x14ac:dyDescent="0.2">
      <c r="A28" s="25"/>
      <c r="B28" s="45" t="s">
        <v>41</v>
      </c>
      <c r="C28" s="55"/>
      <c r="D28" s="1">
        <f>ROUND(0.3*D24,2)</f>
        <v>38267.050000000003</v>
      </c>
      <c r="E28" s="16"/>
      <c r="F28" s="15">
        <f>ROUND($D28*E28,2)</f>
        <v>0</v>
      </c>
      <c r="H28" s="69"/>
      <c r="I28" s="61" t="s">
        <v>49</v>
      </c>
      <c r="J28" s="74">
        <f>0.1*I27</f>
        <v>245000</v>
      </c>
    </row>
    <row r="29" spans="1:16" s="5" customFormat="1" ht="20.100000000000001" customHeight="1" x14ac:dyDescent="0.2">
      <c r="A29" s="25"/>
      <c r="B29" s="45" t="s">
        <v>42</v>
      </c>
      <c r="C29" s="55"/>
      <c r="D29" s="1">
        <f>ROUND(0.4*D24,2)</f>
        <v>51022.74</v>
      </c>
      <c r="E29" s="16"/>
      <c r="F29" s="15">
        <f>ROUND($D29*E29,2)</f>
        <v>0</v>
      </c>
      <c r="H29" s="72"/>
      <c r="I29" s="17" t="s">
        <v>47</v>
      </c>
      <c r="J29" s="76">
        <f>SUM(J25:J28)</f>
        <v>2266250</v>
      </c>
    </row>
    <row r="30" spans="1:16" s="5" customFormat="1" ht="20.100000000000001" customHeight="1" x14ac:dyDescent="0.2">
      <c r="A30" s="25"/>
      <c r="B30" s="45" t="s">
        <v>43</v>
      </c>
      <c r="C30" s="55"/>
      <c r="D30" s="1">
        <f>ROUND(0.02*D24,2)</f>
        <v>2551.14</v>
      </c>
      <c r="E30" s="16"/>
      <c r="F30" s="15">
        <f>ROUND($D30*E30,2)</f>
        <v>0</v>
      </c>
    </row>
    <row r="31" spans="1:16" s="5" customFormat="1" ht="20.100000000000001" customHeight="1" x14ac:dyDescent="0.2">
      <c r="A31" s="25"/>
      <c r="B31" s="120" t="s">
        <v>55</v>
      </c>
      <c r="C31" s="121"/>
      <c r="D31" s="3">
        <f>SUM(D25:D30)</f>
        <v>127556.84999999999</v>
      </c>
      <c r="E31" s="13"/>
      <c r="F31" s="2">
        <f>SUM(F25:F30)</f>
        <v>0</v>
      </c>
      <c r="I31" s="61" t="s">
        <v>50</v>
      </c>
      <c r="J31" s="76">
        <f>J29/1.19</f>
        <v>1904411.7647058824</v>
      </c>
    </row>
    <row r="32" spans="1:16" s="5" customFormat="1" ht="20.100000000000001" customHeight="1" thickBot="1" x14ac:dyDescent="0.25">
      <c r="A32" s="28"/>
      <c r="B32" s="124" t="s">
        <v>63</v>
      </c>
      <c r="C32" s="125"/>
      <c r="D32" s="125"/>
      <c r="E32" s="51"/>
      <c r="F32" s="19">
        <f>SUM(F31:F31)</f>
        <v>0</v>
      </c>
      <c r="I32" s="61"/>
      <c r="J32" s="61"/>
    </row>
    <row r="33" spans="1:10" s="11" customFormat="1" ht="19.5" customHeight="1" x14ac:dyDescent="0.2">
      <c r="A33" s="81" t="s">
        <v>14</v>
      </c>
      <c r="B33" s="82" t="s">
        <v>92</v>
      </c>
      <c r="C33" s="83"/>
      <c r="D33" s="83"/>
      <c r="E33" s="83"/>
      <c r="F33" s="84"/>
      <c r="G33" s="4"/>
      <c r="I33" s="62"/>
      <c r="J33" s="62"/>
    </row>
    <row r="34" spans="1:10" s="11" customFormat="1" ht="19.5" customHeight="1" x14ac:dyDescent="0.2">
      <c r="A34" s="85" t="s">
        <v>65</v>
      </c>
      <c r="B34" s="86" t="s">
        <v>66</v>
      </c>
      <c r="C34" s="85"/>
      <c r="D34" s="87"/>
      <c r="E34" s="87"/>
      <c r="F34" s="88"/>
      <c r="G34" s="4"/>
      <c r="I34" s="62"/>
      <c r="J34" s="62"/>
    </row>
    <row r="35" spans="1:10" s="22" customFormat="1" ht="21" customHeight="1" x14ac:dyDescent="0.2">
      <c r="A35" s="30" t="s">
        <v>9</v>
      </c>
      <c r="B35" s="116" t="s">
        <v>0</v>
      </c>
      <c r="C35" s="117"/>
      <c r="D35" s="46" t="s">
        <v>2</v>
      </c>
      <c r="E35" s="46" t="s">
        <v>5</v>
      </c>
      <c r="F35" s="47" t="s">
        <v>1</v>
      </c>
      <c r="I35" s="63"/>
      <c r="J35" s="63"/>
    </row>
    <row r="36" spans="1:10" s="12" customFormat="1" ht="50.25" customHeight="1" x14ac:dyDescent="0.2">
      <c r="A36" s="37"/>
      <c r="B36" s="118" t="s">
        <v>86</v>
      </c>
      <c r="C36" s="119"/>
      <c r="D36" s="3">
        <v>8551.08</v>
      </c>
      <c r="E36" s="35" t="s">
        <v>16</v>
      </c>
      <c r="F36" s="15"/>
      <c r="H36" s="66"/>
      <c r="I36" s="43"/>
      <c r="J36" s="43"/>
    </row>
    <row r="37" spans="1:10" s="5" customFormat="1" ht="20.100000000000001" customHeight="1" x14ac:dyDescent="0.2">
      <c r="A37" s="25"/>
      <c r="B37" s="45" t="s">
        <v>39</v>
      </c>
      <c r="C37" s="55"/>
      <c r="D37" s="1">
        <f>0.03*D36</f>
        <v>256.5324</v>
      </c>
      <c r="E37" s="16"/>
      <c r="F37" s="15">
        <f t="shared" ref="F37:F43" si="1">$D37*E37</f>
        <v>0</v>
      </c>
      <c r="H37" s="43"/>
      <c r="I37" s="61"/>
      <c r="J37" s="61"/>
    </row>
    <row r="38" spans="1:10" s="5" customFormat="1" ht="20.100000000000001" customHeight="1" x14ac:dyDescent="0.2">
      <c r="A38" s="25"/>
      <c r="B38" s="45" t="s">
        <v>58</v>
      </c>
      <c r="C38" s="55"/>
      <c r="D38" s="1">
        <f>0.2*D36</f>
        <v>1710.2160000000001</v>
      </c>
      <c r="E38" s="16"/>
      <c r="F38" s="15">
        <f t="shared" si="1"/>
        <v>0</v>
      </c>
      <c r="H38" s="43"/>
      <c r="I38" s="61"/>
      <c r="J38" s="61"/>
    </row>
    <row r="39" spans="1:10" s="5" customFormat="1" ht="20.100000000000001" customHeight="1" x14ac:dyDescent="0.2">
      <c r="A39" s="25"/>
      <c r="B39" s="45" t="s">
        <v>59</v>
      </c>
      <c r="C39" s="55"/>
      <c r="D39" s="1">
        <f>0.4*D36</f>
        <v>3420.4320000000002</v>
      </c>
      <c r="E39" s="16"/>
      <c r="F39" s="15">
        <f t="shared" si="1"/>
        <v>0</v>
      </c>
      <c r="I39" s="61"/>
      <c r="J39" s="61"/>
    </row>
    <row r="40" spans="1:10" s="5" customFormat="1" ht="20.100000000000001" customHeight="1" x14ac:dyDescent="0.2">
      <c r="A40" s="25"/>
      <c r="B40" s="45" t="s">
        <v>60</v>
      </c>
      <c r="C40" s="55"/>
      <c r="D40" s="1">
        <f>0.06*D36</f>
        <v>513.06479999999999</v>
      </c>
      <c r="E40" s="16"/>
      <c r="F40" s="15">
        <f t="shared" si="1"/>
        <v>0</v>
      </c>
      <c r="I40" s="61"/>
      <c r="J40" s="61"/>
    </row>
    <row r="41" spans="1:10" s="5" customFormat="1" ht="20.100000000000001" customHeight="1" x14ac:dyDescent="0.2">
      <c r="A41" s="25"/>
      <c r="B41" s="45" t="s">
        <v>61</v>
      </c>
      <c r="C41" s="55"/>
      <c r="D41" s="1">
        <f>0.27*D36</f>
        <v>2308.7916</v>
      </c>
      <c r="E41" s="16"/>
      <c r="F41" s="15">
        <f t="shared" si="1"/>
        <v>0</v>
      </c>
      <c r="I41" s="61"/>
      <c r="J41" s="64"/>
    </row>
    <row r="42" spans="1:10" s="5" customFormat="1" ht="20.100000000000001" customHeight="1" x14ac:dyDescent="0.2">
      <c r="A42" s="25"/>
      <c r="B42" s="45" t="s">
        <v>43</v>
      </c>
      <c r="C42" s="55"/>
      <c r="D42" s="1">
        <f>0.02*D36</f>
        <v>171.02160000000001</v>
      </c>
      <c r="E42" s="16"/>
      <c r="F42" s="15">
        <f t="shared" si="1"/>
        <v>0</v>
      </c>
    </row>
    <row r="43" spans="1:10" s="5" customFormat="1" ht="20.100000000000001" customHeight="1" x14ac:dyDescent="0.2">
      <c r="A43" s="25"/>
      <c r="B43" s="45" t="s">
        <v>62</v>
      </c>
      <c r="C43" s="80"/>
      <c r="D43" s="3">
        <f>0.02*D36</f>
        <v>171.02160000000001</v>
      </c>
      <c r="E43" s="16"/>
      <c r="F43" s="15">
        <f t="shared" si="1"/>
        <v>0</v>
      </c>
    </row>
    <row r="44" spans="1:10" s="5" customFormat="1" ht="20.100000000000001" customHeight="1" x14ac:dyDescent="0.2">
      <c r="A44" s="25"/>
      <c r="B44" s="120" t="s">
        <v>67</v>
      </c>
      <c r="C44" s="121"/>
      <c r="D44" s="3">
        <f>SUM(D37:D43)</f>
        <v>8551.08</v>
      </c>
      <c r="E44" s="13"/>
      <c r="F44" s="2">
        <f>SUM(F37:F43)</f>
        <v>0</v>
      </c>
      <c r="I44" s="61"/>
      <c r="J44" s="64"/>
    </row>
    <row r="45" spans="1:10" s="5" customFormat="1" ht="20.100000000000001" customHeight="1" x14ac:dyDescent="0.2">
      <c r="A45" s="25"/>
      <c r="B45" s="126" t="s">
        <v>68</v>
      </c>
      <c r="C45" s="127"/>
      <c r="D45" s="127"/>
      <c r="E45" s="89"/>
      <c r="F45" s="90">
        <f>SUM(F44:F44)</f>
        <v>0</v>
      </c>
      <c r="I45" s="61"/>
      <c r="J45" s="61"/>
    </row>
    <row r="46" spans="1:10" s="11" customFormat="1" ht="19.5" customHeight="1" x14ac:dyDescent="0.2">
      <c r="A46" s="85" t="s">
        <v>69</v>
      </c>
      <c r="B46" s="137" t="s">
        <v>70</v>
      </c>
      <c r="C46" s="138"/>
      <c r="D46" s="138"/>
      <c r="E46" s="138"/>
      <c r="F46" s="139"/>
      <c r="G46" s="4"/>
      <c r="I46" s="62"/>
      <c r="J46" s="62"/>
    </row>
    <row r="47" spans="1:10" s="22" customFormat="1" ht="21" customHeight="1" x14ac:dyDescent="0.2">
      <c r="A47" s="30" t="s">
        <v>9</v>
      </c>
      <c r="B47" s="116" t="s">
        <v>0</v>
      </c>
      <c r="C47" s="117"/>
      <c r="D47" s="46" t="s">
        <v>2</v>
      </c>
      <c r="E47" s="46" t="s">
        <v>5</v>
      </c>
      <c r="F47" s="47" t="s">
        <v>1</v>
      </c>
      <c r="I47" s="63"/>
      <c r="J47" s="63"/>
    </row>
    <row r="48" spans="1:10" s="12" customFormat="1" ht="50.25" customHeight="1" x14ac:dyDescent="0.2">
      <c r="A48" s="37"/>
      <c r="B48" s="118" t="s">
        <v>87</v>
      </c>
      <c r="C48" s="119"/>
      <c r="D48" s="3">
        <v>14887.83</v>
      </c>
      <c r="E48" s="35" t="s">
        <v>16</v>
      </c>
      <c r="F48" s="15"/>
      <c r="H48" s="66"/>
      <c r="I48" s="43"/>
      <c r="J48" s="43"/>
    </row>
    <row r="49" spans="1:10" s="5" customFormat="1" ht="20.100000000000001" customHeight="1" x14ac:dyDescent="0.2">
      <c r="A49" s="25"/>
      <c r="B49" s="45" t="s">
        <v>39</v>
      </c>
      <c r="C49" s="55"/>
      <c r="D49" s="1">
        <f>0.03*D48</f>
        <v>446.63489999999996</v>
      </c>
      <c r="E49" s="16"/>
      <c r="F49" s="15">
        <f t="shared" ref="F49:F55" si="2">$D49*E49</f>
        <v>0</v>
      </c>
      <c r="H49" s="43"/>
      <c r="I49" s="61"/>
      <c r="J49" s="61"/>
    </row>
    <row r="50" spans="1:10" s="5" customFormat="1" ht="20.100000000000001" customHeight="1" x14ac:dyDescent="0.2">
      <c r="A50" s="25"/>
      <c r="B50" s="45" t="s">
        <v>58</v>
      </c>
      <c r="C50" s="55"/>
      <c r="D50" s="1">
        <f>0.2*D48</f>
        <v>2977.5660000000003</v>
      </c>
      <c r="E50" s="16"/>
      <c r="F50" s="15">
        <f t="shared" si="2"/>
        <v>0</v>
      </c>
      <c r="H50" s="43"/>
      <c r="I50" s="61"/>
      <c r="J50" s="61"/>
    </row>
    <row r="51" spans="1:10" s="5" customFormat="1" ht="20.100000000000001" customHeight="1" x14ac:dyDescent="0.2">
      <c r="A51" s="25"/>
      <c r="B51" s="45" t="s">
        <v>59</v>
      </c>
      <c r="C51" s="55"/>
      <c r="D51" s="1">
        <f>0.4*D48</f>
        <v>5955.1320000000005</v>
      </c>
      <c r="E51" s="16"/>
      <c r="F51" s="15">
        <f t="shared" si="2"/>
        <v>0</v>
      </c>
      <c r="I51" s="61"/>
      <c r="J51" s="61"/>
    </row>
    <row r="52" spans="1:10" s="5" customFormat="1" ht="20.100000000000001" customHeight="1" x14ac:dyDescent="0.2">
      <c r="A52" s="25"/>
      <c r="B52" s="45" t="s">
        <v>60</v>
      </c>
      <c r="C52" s="55"/>
      <c r="D52" s="1">
        <f>0.06*D48</f>
        <v>893.26979999999992</v>
      </c>
      <c r="E52" s="16"/>
      <c r="F52" s="15">
        <f t="shared" si="2"/>
        <v>0</v>
      </c>
      <c r="I52" s="61"/>
      <c r="J52" s="61"/>
    </row>
    <row r="53" spans="1:10" s="5" customFormat="1" ht="20.100000000000001" customHeight="1" x14ac:dyDescent="0.2">
      <c r="A53" s="25"/>
      <c r="B53" s="45" t="s">
        <v>61</v>
      </c>
      <c r="C53" s="55"/>
      <c r="D53" s="1">
        <f>0.27*D48</f>
        <v>4019.7141000000001</v>
      </c>
      <c r="E53" s="16"/>
      <c r="F53" s="15">
        <f t="shared" si="2"/>
        <v>0</v>
      </c>
      <c r="I53" s="61"/>
      <c r="J53" s="64"/>
    </row>
    <row r="54" spans="1:10" s="5" customFormat="1" ht="20.100000000000001" customHeight="1" x14ac:dyDescent="0.2">
      <c r="A54" s="25"/>
      <c r="B54" s="45" t="s">
        <v>43</v>
      </c>
      <c r="C54" s="55"/>
      <c r="D54" s="1">
        <f>0.02*D48</f>
        <v>297.75659999999999</v>
      </c>
      <c r="E54" s="16"/>
      <c r="F54" s="15">
        <f t="shared" si="2"/>
        <v>0</v>
      </c>
    </row>
    <row r="55" spans="1:10" s="5" customFormat="1" ht="20.100000000000001" customHeight="1" x14ac:dyDescent="0.2">
      <c r="A55" s="25"/>
      <c r="B55" s="45" t="s">
        <v>62</v>
      </c>
      <c r="C55" s="80"/>
      <c r="D55" s="3">
        <f>0.02*D48</f>
        <v>297.75659999999999</v>
      </c>
      <c r="E55" s="16"/>
      <c r="F55" s="15">
        <f t="shared" si="2"/>
        <v>0</v>
      </c>
    </row>
    <row r="56" spans="1:10" s="5" customFormat="1" ht="20.100000000000001" customHeight="1" x14ac:dyDescent="0.2">
      <c r="A56" s="25"/>
      <c r="B56" s="120" t="s">
        <v>67</v>
      </c>
      <c r="C56" s="121"/>
      <c r="D56" s="3">
        <f>SUM(D49:D55)</f>
        <v>14887.830000000002</v>
      </c>
      <c r="E56" s="13"/>
      <c r="F56" s="2">
        <f>SUM(F49:F55)</f>
        <v>0</v>
      </c>
      <c r="I56" s="61"/>
      <c r="J56" s="64"/>
    </row>
    <row r="57" spans="1:10" s="5" customFormat="1" ht="20.100000000000001" customHeight="1" thickBot="1" x14ac:dyDescent="0.25">
      <c r="A57" s="28"/>
      <c r="B57" s="124" t="s">
        <v>71</v>
      </c>
      <c r="C57" s="125"/>
      <c r="D57" s="125"/>
      <c r="E57" s="51"/>
      <c r="F57" s="19">
        <f>SUM(F56:F56)</f>
        <v>0</v>
      </c>
      <c r="I57" s="61"/>
      <c r="J57" s="61"/>
    </row>
    <row r="58" spans="1:10" s="11" customFormat="1" ht="19.5" customHeight="1" x14ac:dyDescent="0.2">
      <c r="A58" s="85" t="s">
        <v>72</v>
      </c>
      <c r="B58" s="137" t="s">
        <v>73</v>
      </c>
      <c r="C58" s="138"/>
      <c r="D58" s="138"/>
      <c r="E58" s="138"/>
      <c r="F58" s="139"/>
      <c r="G58" s="4"/>
      <c r="I58" s="62"/>
      <c r="J58" s="62"/>
    </row>
    <row r="59" spans="1:10" s="22" customFormat="1" ht="21" customHeight="1" x14ac:dyDescent="0.2">
      <c r="A59" s="30" t="s">
        <v>9</v>
      </c>
      <c r="B59" s="116" t="s">
        <v>0</v>
      </c>
      <c r="C59" s="117"/>
      <c r="D59" s="46" t="s">
        <v>2</v>
      </c>
      <c r="E59" s="46" t="s">
        <v>5</v>
      </c>
      <c r="F59" s="47" t="s">
        <v>1</v>
      </c>
      <c r="I59" s="63"/>
      <c r="J59" s="63"/>
    </row>
    <row r="60" spans="1:10" s="12" customFormat="1" ht="50.25" customHeight="1" x14ac:dyDescent="0.2">
      <c r="A60" s="37"/>
      <c r="B60" s="118" t="s">
        <v>88</v>
      </c>
      <c r="C60" s="119"/>
      <c r="D60" s="3">
        <v>20754.25</v>
      </c>
      <c r="E60" s="35" t="s">
        <v>16</v>
      </c>
      <c r="F60" s="15"/>
      <c r="H60" s="66"/>
      <c r="I60" s="43"/>
      <c r="J60" s="43"/>
    </row>
    <row r="61" spans="1:10" s="5" customFormat="1" ht="20.100000000000001" customHeight="1" x14ac:dyDescent="0.2">
      <c r="A61" s="25"/>
      <c r="B61" s="45" t="s">
        <v>39</v>
      </c>
      <c r="C61" s="55"/>
      <c r="D61" s="1">
        <f>0.03*D60</f>
        <v>622.62749999999994</v>
      </c>
      <c r="E61" s="16"/>
      <c r="F61" s="15">
        <f t="shared" ref="F61:F67" si="3">$D61*E61</f>
        <v>0</v>
      </c>
      <c r="H61" s="43"/>
      <c r="I61" s="61"/>
      <c r="J61" s="61"/>
    </row>
    <row r="62" spans="1:10" s="5" customFormat="1" ht="20.100000000000001" customHeight="1" x14ac:dyDescent="0.2">
      <c r="A62" s="25"/>
      <c r="B62" s="45" t="s">
        <v>58</v>
      </c>
      <c r="C62" s="55"/>
      <c r="D62" s="1">
        <f>0.2*D60</f>
        <v>4150.8500000000004</v>
      </c>
      <c r="E62" s="16"/>
      <c r="F62" s="15">
        <f t="shared" si="3"/>
        <v>0</v>
      </c>
      <c r="H62" s="43"/>
      <c r="I62" s="61"/>
      <c r="J62" s="61"/>
    </row>
    <row r="63" spans="1:10" s="5" customFormat="1" ht="20.100000000000001" customHeight="1" x14ac:dyDescent="0.2">
      <c r="A63" s="25"/>
      <c r="B63" s="45" t="s">
        <v>59</v>
      </c>
      <c r="C63" s="55"/>
      <c r="D63" s="1">
        <f>0.4*D60</f>
        <v>8301.7000000000007</v>
      </c>
      <c r="E63" s="16"/>
      <c r="F63" s="15">
        <f t="shared" si="3"/>
        <v>0</v>
      </c>
      <c r="I63" s="61"/>
      <c r="J63" s="61"/>
    </row>
    <row r="64" spans="1:10" s="5" customFormat="1" ht="20.100000000000001" customHeight="1" x14ac:dyDescent="0.2">
      <c r="A64" s="25"/>
      <c r="B64" s="45" t="s">
        <v>60</v>
      </c>
      <c r="C64" s="55"/>
      <c r="D64" s="1">
        <f>0.06*D60</f>
        <v>1245.2549999999999</v>
      </c>
      <c r="E64" s="16"/>
      <c r="F64" s="15">
        <f t="shared" si="3"/>
        <v>0</v>
      </c>
      <c r="I64" s="61"/>
      <c r="J64" s="61"/>
    </row>
    <row r="65" spans="1:10" s="5" customFormat="1" ht="20.100000000000001" customHeight="1" x14ac:dyDescent="0.2">
      <c r="A65" s="25"/>
      <c r="B65" s="45" t="s">
        <v>61</v>
      </c>
      <c r="C65" s="55"/>
      <c r="D65" s="1">
        <f>0.27*D60</f>
        <v>5603.6475</v>
      </c>
      <c r="E65" s="16"/>
      <c r="F65" s="15">
        <f t="shared" si="3"/>
        <v>0</v>
      </c>
      <c r="I65" s="61"/>
      <c r="J65" s="64"/>
    </row>
    <row r="66" spans="1:10" s="5" customFormat="1" ht="20.100000000000001" customHeight="1" x14ac:dyDescent="0.2">
      <c r="A66" s="25"/>
      <c r="B66" s="45" t="s">
        <v>43</v>
      </c>
      <c r="C66" s="55"/>
      <c r="D66" s="1">
        <f>0.02*D60</f>
        <v>415.08500000000004</v>
      </c>
      <c r="E66" s="16"/>
      <c r="F66" s="15">
        <f t="shared" si="3"/>
        <v>0</v>
      </c>
    </row>
    <row r="67" spans="1:10" s="5" customFormat="1" ht="20.100000000000001" customHeight="1" x14ac:dyDescent="0.2">
      <c r="A67" s="25"/>
      <c r="B67" s="45" t="s">
        <v>62</v>
      </c>
      <c r="C67" s="80"/>
      <c r="D67" s="3">
        <f>0.02*D60</f>
        <v>415.08500000000004</v>
      </c>
      <c r="E67" s="16"/>
      <c r="F67" s="15">
        <f t="shared" si="3"/>
        <v>0</v>
      </c>
    </row>
    <row r="68" spans="1:10" s="5" customFormat="1" ht="20.100000000000001" customHeight="1" x14ac:dyDescent="0.2">
      <c r="A68" s="25"/>
      <c r="B68" s="120" t="s">
        <v>67</v>
      </c>
      <c r="C68" s="121"/>
      <c r="D68" s="3">
        <f>SUM(D61:D67)</f>
        <v>20754.25</v>
      </c>
      <c r="E68" s="13"/>
      <c r="F68" s="2">
        <f>SUM(F61:F67)</f>
        <v>0</v>
      </c>
      <c r="I68" s="61"/>
      <c r="J68" s="64"/>
    </row>
    <row r="69" spans="1:10" s="5" customFormat="1" ht="20.100000000000001" customHeight="1" x14ac:dyDescent="0.2">
      <c r="A69" s="25"/>
      <c r="B69" s="126" t="s">
        <v>74</v>
      </c>
      <c r="C69" s="127"/>
      <c r="D69" s="127"/>
      <c r="E69" s="89"/>
      <c r="F69" s="90">
        <f>SUM(F68:F68)</f>
        <v>0</v>
      </c>
      <c r="I69" s="61"/>
      <c r="J69" s="61"/>
    </row>
    <row r="70" spans="1:10" s="5" customFormat="1" ht="20.100000000000001" customHeight="1" x14ac:dyDescent="0.2">
      <c r="A70" s="147" t="s">
        <v>97</v>
      </c>
      <c r="B70" s="148" t="s">
        <v>89</v>
      </c>
      <c r="C70" s="149"/>
      <c r="D70" s="149"/>
      <c r="E70" s="150"/>
      <c r="F70" s="151"/>
      <c r="I70" s="61"/>
      <c r="J70" s="61"/>
    </row>
    <row r="71" spans="1:10" s="5" customFormat="1" ht="20.100000000000001" customHeight="1" thickBot="1" x14ac:dyDescent="0.25">
      <c r="A71" s="25"/>
      <c r="B71" s="143" t="s">
        <v>98</v>
      </c>
      <c r="C71" s="144"/>
      <c r="D71" s="144"/>
      <c r="E71" s="145"/>
      <c r="F71" s="146">
        <f>F69+F57+F45</f>
        <v>0</v>
      </c>
      <c r="I71" s="61"/>
      <c r="J71" s="61"/>
    </row>
    <row r="72" spans="1:10" s="5" customFormat="1" ht="25.5" customHeight="1" x14ac:dyDescent="0.2">
      <c r="A72" s="29" t="s">
        <v>19</v>
      </c>
      <c r="B72" s="52" t="s">
        <v>93</v>
      </c>
      <c r="C72" s="53"/>
      <c r="D72" s="53"/>
      <c r="E72" s="53"/>
      <c r="F72" s="54"/>
      <c r="I72" s="61"/>
      <c r="J72" s="61"/>
    </row>
    <row r="73" spans="1:10" s="5" customFormat="1" ht="20.100000000000001" customHeight="1" x14ac:dyDescent="0.2">
      <c r="A73" s="30" t="s">
        <v>9</v>
      </c>
      <c r="B73" s="122" t="s">
        <v>0</v>
      </c>
      <c r="C73" s="123"/>
      <c r="D73" s="134"/>
      <c r="E73" s="130" t="s">
        <v>36</v>
      </c>
      <c r="F73" s="131"/>
      <c r="I73" s="61"/>
      <c r="J73" s="61"/>
    </row>
    <row r="74" spans="1:10" s="5" customFormat="1" ht="42" customHeight="1" x14ac:dyDescent="0.2">
      <c r="A74" s="37"/>
      <c r="B74" s="99" t="s">
        <v>37</v>
      </c>
      <c r="C74" s="100"/>
      <c r="D74" s="129"/>
      <c r="E74" s="132"/>
      <c r="F74" s="133"/>
      <c r="I74" s="61"/>
      <c r="J74" s="61"/>
    </row>
    <row r="75" spans="1:10" s="5" customFormat="1" ht="24.75" customHeight="1" thickBot="1" x14ac:dyDescent="0.25">
      <c r="A75" s="28"/>
      <c r="B75" s="78" t="s">
        <v>38</v>
      </c>
      <c r="E75" s="135">
        <f>E74</f>
        <v>0</v>
      </c>
      <c r="F75" s="136"/>
      <c r="I75" s="61"/>
      <c r="J75" s="61"/>
    </row>
    <row r="76" spans="1:10" s="11" customFormat="1" ht="25.5" customHeight="1" x14ac:dyDescent="0.2">
      <c r="A76" s="29" t="s">
        <v>75</v>
      </c>
      <c r="B76" s="52" t="s">
        <v>57</v>
      </c>
      <c r="C76" s="53"/>
      <c r="D76" s="53"/>
      <c r="E76" s="53"/>
      <c r="F76" s="54"/>
      <c r="G76" s="4"/>
      <c r="I76" s="62"/>
      <c r="J76" s="62"/>
    </row>
    <row r="77" spans="1:10" s="22" customFormat="1" ht="16.5" customHeight="1" x14ac:dyDescent="0.2">
      <c r="A77" s="30"/>
      <c r="B77" s="122" t="s">
        <v>15</v>
      </c>
      <c r="C77" s="123"/>
      <c r="D77" s="31"/>
      <c r="E77" s="123" t="s">
        <v>18</v>
      </c>
      <c r="F77" s="128"/>
      <c r="I77" s="63"/>
      <c r="J77" s="63"/>
    </row>
    <row r="78" spans="1:10" s="5" customFormat="1" ht="35.25" customHeight="1" x14ac:dyDescent="0.2">
      <c r="A78" s="32" t="s">
        <v>76</v>
      </c>
      <c r="B78" s="99" t="s">
        <v>17</v>
      </c>
      <c r="C78" s="100"/>
      <c r="D78" s="26"/>
      <c r="E78" s="101"/>
      <c r="F78" s="102"/>
      <c r="I78" s="61"/>
      <c r="J78" s="61"/>
    </row>
    <row r="79" spans="1:10" s="5" customFormat="1" ht="35.25" customHeight="1" x14ac:dyDescent="0.2">
      <c r="A79" s="32" t="s">
        <v>77</v>
      </c>
      <c r="B79" s="99" t="s">
        <v>21</v>
      </c>
      <c r="C79" s="100"/>
      <c r="D79" s="26"/>
      <c r="E79" s="101"/>
      <c r="F79" s="102"/>
      <c r="I79" s="61"/>
      <c r="J79" s="61"/>
    </row>
    <row r="80" spans="1:10" s="5" customFormat="1" ht="35.25" customHeight="1" thickBot="1" x14ac:dyDescent="0.25">
      <c r="A80" s="28" t="s">
        <v>78</v>
      </c>
      <c r="B80" s="94" t="s">
        <v>32</v>
      </c>
      <c r="C80" s="95"/>
      <c r="D80" s="96"/>
      <c r="E80" s="97"/>
      <c r="F80" s="98"/>
      <c r="I80" s="61"/>
      <c r="J80" s="61"/>
    </row>
    <row r="81" spans="1:10" s="11" customFormat="1" ht="25.5" customHeight="1" x14ac:dyDescent="0.2">
      <c r="A81" s="29" t="s">
        <v>79</v>
      </c>
      <c r="B81" s="52" t="s">
        <v>31</v>
      </c>
      <c r="C81" s="53"/>
      <c r="D81" s="53"/>
      <c r="E81" s="53"/>
      <c r="F81" s="54"/>
      <c r="G81" s="4"/>
      <c r="I81" s="62"/>
      <c r="J81" s="62"/>
    </row>
    <row r="82" spans="1:10" s="5" customFormat="1" ht="35.25" customHeight="1" x14ac:dyDescent="0.2">
      <c r="A82" s="38" t="s">
        <v>80</v>
      </c>
      <c r="B82" s="48" t="s">
        <v>85</v>
      </c>
      <c r="C82" s="48"/>
      <c r="D82" s="49"/>
      <c r="E82" s="50" t="s">
        <v>6</v>
      </c>
      <c r="F82" s="79">
        <f>F21+F32+F71+E75</f>
        <v>0</v>
      </c>
      <c r="I82" s="61"/>
      <c r="J82" s="61"/>
    </row>
    <row r="83" spans="1:10" s="5" customFormat="1" ht="35.25" customHeight="1" x14ac:dyDescent="0.2">
      <c r="A83" s="24" t="s">
        <v>81</v>
      </c>
      <c r="B83" s="26" t="s">
        <v>10</v>
      </c>
      <c r="C83" s="103" t="s">
        <v>11</v>
      </c>
      <c r="D83" s="104"/>
      <c r="E83" s="27"/>
      <c r="F83" s="21">
        <f>ROUND(E83*F82,2)</f>
        <v>0</v>
      </c>
      <c r="I83" s="61"/>
      <c r="J83" s="61"/>
    </row>
    <row r="84" spans="1:10" s="5" customFormat="1" ht="35.25" customHeight="1" x14ac:dyDescent="0.2">
      <c r="A84" s="32" t="s">
        <v>82</v>
      </c>
      <c r="B84" s="33" t="s">
        <v>8</v>
      </c>
      <c r="C84" s="33"/>
      <c r="D84" s="17"/>
      <c r="E84" s="13" t="s">
        <v>6</v>
      </c>
      <c r="F84" s="2">
        <f>F82+F83</f>
        <v>0</v>
      </c>
      <c r="I84" s="61"/>
      <c r="J84" s="61"/>
    </row>
    <row r="85" spans="1:10" s="5" customFormat="1" ht="35.25" customHeight="1" x14ac:dyDescent="0.2">
      <c r="A85" s="32" t="s">
        <v>83</v>
      </c>
      <c r="B85" s="33" t="s">
        <v>4</v>
      </c>
      <c r="C85" s="33"/>
      <c r="D85" s="56"/>
      <c r="E85" s="57">
        <v>0.19</v>
      </c>
      <c r="F85" s="20">
        <f>ROUND(E85*F84,2)</f>
        <v>0</v>
      </c>
      <c r="I85" s="61"/>
      <c r="J85" s="61"/>
    </row>
    <row r="86" spans="1:10" s="18" customFormat="1" ht="35.25" customHeight="1" thickBot="1" x14ac:dyDescent="0.25">
      <c r="A86" s="36" t="s">
        <v>84</v>
      </c>
      <c r="B86" s="33" t="s">
        <v>8</v>
      </c>
      <c r="C86" s="34"/>
      <c r="D86" s="34"/>
      <c r="E86" s="23" t="s">
        <v>7</v>
      </c>
      <c r="F86" s="19">
        <f>F84+F85</f>
        <v>0</v>
      </c>
      <c r="I86" s="64"/>
      <c r="J86" s="64"/>
    </row>
    <row r="87" spans="1:10" s="11" customFormat="1" ht="25.5" customHeight="1" x14ac:dyDescent="0.2">
      <c r="A87" s="29" t="s">
        <v>35</v>
      </c>
      <c r="B87" s="52" t="s">
        <v>20</v>
      </c>
      <c r="C87" s="53"/>
      <c r="D87" s="53"/>
      <c r="E87" s="53"/>
      <c r="F87" s="54"/>
      <c r="G87" s="4"/>
      <c r="I87" s="62"/>
      <c r="J87" s="62"/>
    </row>
    <row r="88" spans="1:10" s="12" customFormat="1" ht="272.25" customHeight="1" thickBot="1" x14ac:dyDescent="0.25">
      <c r="A88" s="91"/>
      <c r="B88" s="92"/>
      <c r="C88" s="92"/>
      <c r="D88" s="92"/>
      <c r="E88" s="92"/>
      <c r="F88" s="93"/>
      <c r="I88" s="43"/>
      <c r="J88" s="43"/>
    </row>
  </sheetData>
  <sheetProtection algorithmName="SHA-512" hashValue="q8/XF8zeBSnKlSbWWHLdTOPNZfpe2KUdz55cQAGSTsPoVSu4Ti7O/gr+X1igNyKbfCFcz/2mR8L9yZ2zloInUg==" saltValue="lhXwe2U5BhYOjQ6bM/zf2Q==" spinCount="100000" sheet="1" selectLockedCells="1"/>
  <mergeCells count="45">
    <mergeCell ref="E77:F77"/>
    <mergeCell ref="B32:D32"/>
    <mergeCell ref="B74:D74"/>
    <mergeCell ref="E73:F73"/>
    <mergeCell ref="E74:F74"/>
    <mergeCell ref="B73:D73"/>
    <mergeCell ref="E75:F75"/>
    <mergeCell ref="B56:C56"/>
    <mergeCell ref="B70:D70"/>
    <mergeCell ref="B57:D57"/>
    <mergeCell ref="B46:F46"/>
    <mergeCell ref="B58:F58"/>
    <mergeCell ref="B59:C59"/>
    <mergeCell ref="B60:C60"/>
    <mergeCell ref="B71:D71"/>
    <mergeCell ref="B9:C9"/>
    <mergeCell ref="B10:C10"/>
    <mergeCell ref="B20:C20"/>
    <mergeCell ref="B77:C77"/>
    <mergeCell ref="B21:D21"/>
    <mergeCell ref="B23:C23"/>
    <mergeCell ref="B24:C24"/>
    <mergeCell ref="B31:C31"/>
    <mergeCell ref="B35:C35"/>
    <mergeCell ref="B36:C36"/>
    <mergeCell ref="B44:C44"/>
    <mergeCell ref="B45:D45"/>
    <mergeCell ref="B47:C47"/>
    <mergeCell ref="B48:C48"/>
    <mergeCell ref="B68:C68"/>
    <mergeCell ref="B69:D69"/>
    <mergeCell ref="E1:F1"/>
    <mergeCell ref="A1:D2"/>
    <mergeCell ref="A4:B4"/>
    <mergeCell ref="A6:F6"/>
    <mergeCell ref="C4:F4"/>
    <mergeCell ref="C3:F3"/>
    <mergeCell ref="A88:F88"/>
    <mergeCell ref="B80:D80"/>
    <mergeCell ref="E80:F80"/>
    <mergeCell ref="B78:C78"/>
    <mergeCell ref="E78:F78"/>
    <mergeCell ref="B79:C79"/>
    <mergeCell ref="E79:F79"/>
    <mergeCell ref="C83:D83"/>
  </mergeCells>
  <phoneticPr fontId="0" type="noConversion"/>
  <printOptions horizontalCentered="1"/>
  <pageMargins left="0.15748031496062992" right="0.15748031496062992" top="0.19685039370078741" bottom="0.47244094488188981" header="3.937007874015748E-2" footer="0.15748031496062992"/>
  <pageSetup paperSize="9" fitToHeight="0" orientation="portrait" copies="4" r:id="rId1"/>
  <headerFooter alignWithMargins="0">
    <oddFooter>&amp;L&amp;8&lt;&amp;F&gt;&amp;C&amp;8Funke Management + Bauberatung
Prager Str. 60,  04317 Leipzig&amp;R Seite &amp;P von &amp;N</oddFooter>
  </headerFooter>
  <rowBreaks count="3" manualBreakCount="3">
    <brk id="32" max="5" man="1"/>
    <brk id="57" max="5" man="1"/>
    <brk id="8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Honorardatenblatt</vt:lpstr>
      <vt:lpstr>Honorardatenblatt!Druckbereich</vt:lpstr>
      <vt:lpstr>Honorardatenblatt!Drucktitel</vt:lpstr>
    </vt:vector>
  </TitlesOfParts>
  <Company>FMB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huelsut</dc:creator>
  <cp:lastModifiedBy>Steffen Funke</cp:lastModifiedBy>
  <cp:lastPrinted>2024-07-24T12:28:16Z</cp:lastPrinted>
  <dcterms:created xsi:type="dcterms:W3CDTF">2011-08-17T11:10:42Z</dcterms:created>
  <dcterms:modified xsi:type="dcterms:W3CDTF">2024-07-24T12:29:28Z</dcterms:modified>
</cp:coreProperties>
</file>