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5.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6.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7.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8.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MEBG\NORD\01_AU-V\15_Planung_Umwelt\"/>
    </mc:Choice>
  </mc:AlternateContent>
  <xr:revisionPtr revIDLastSave="0" documentId="13_ncr:1_{2E6DDAFA-5FD2-4DD8-921C-46F1941043C1}" xr6:coauthVersionLast="47" xr6:coauthVersionMax="47" xr10:uidLastSave="{00000000-0000-0000-0000-000000000000}"/>
  <bookViews>
    <workbookView xWindow="-110" yWindow="-110" windowWidth="38620" windowHeight="21100" tabRatio="867" xr2:uid="{00000000-000D-0000-FFFF-FFFF00000000}"/>
  </bookViews>
  <sheets>
    <sheet name="Projektgrundlagen" sheetId="16" r:id="rId1"/>
    <sheet name="A Fläche" sheetId="11" r:id="rId2"/>
    <sheet name="B HZone" sheetId="6" r:id="rId3"/>
    <sheet name="StB-C1 Grundlstg mSt" sheetId="24" state="hidden" r:id="rId4"/>
    <sheet name="StB-C2 Grundlstg oSt" sheetId="28" r:id="rId5"/>
    <sheet name="StB-D1 Besondere Lstg" sheetId="25" r:id="rId6"/>
    <sheet name="E Honorarberechnung" sheetId="12" r:id="rId7"/>
    <sheet name="F Honorarübersicht" sheetId="13" r:id="rId8"/>
    <sheet name="G Honorarabrechnung" sheetId="23" r:id="rId9"/>
    <sheet name="H §31 HOAI" sheetId="4" r:id="rId10"/>
    <sheet name="Z Preisspiegel" sheetId="27" state="veryHidden" r:id="rId11"/>
  </sheets>
  <definedNames>
    <definedName name="an_summe_angebot">'E Honorarberechnung'!$J$104</definedName>
    <definedName name="_xlnm.Print_Area" localSheetId="1">'A Fläche'!$A$1:$H$22</definedName>
    <definedName name="_xlnm.Print_Area" localSheetId="2">'B HZone'!$A$1:$J$40</definedName>
    <definedName name="_xlnm.Print_Area" localSheetId="6">'E Honorarberechnung'!$A$1:$K$106</definedName>
    <definedName name="_xlnm.Print_Area" localSheetId="7">'F Honorarübersicht'!$A$1:$O$32</definedName>
    <definedName name="_xlnm.Print_Area" localSheetId="8">'G Honorarabrechnung'!$A$1:$J$51</definedName>
    <definedName name="_xlnm.Print_Area" localSheetId="9">'H §31 HOAI'!$A$1:$K$37</definedName>
    <definedName name="_xlnm.Print_Area" localSheetId="0">Projektgrundlagen!$A$1:$H$49</definedName>
    <definedName name="_xlnm.Print_Area" localSheetId="3">'StB-C1 Grundlstg mSt'!$A$1:$K$177</definedName>
    <definedName name="_xlnm.Print_Area" localSheetId="4">'StB-C2 Grundlstg oSt'!$A$1:$K$143</definedName>
    <definedName name="_xlnm.Print_Area" localSheetId="5">'StB-D1 Besondere Lstg'!$A$1:$L$169</definedName>
    <definedName name="_xlnm.Print_Titles" localSheetId="6">'E Honorarberechnung'!$1:$12</definedName>
    <definedName name="_xlnm.Print_Titles" localSheetId="7">'F Honorarübersicht'!$1:$9</definedName>
    <definedName name="_xlnm.Print_Titles" localSheetId="8">'G Honorarabrechnung'!$1:$9</definedName>
    <definedName name="_xlnm.Print_Titles" localSheetId="3">'StB-C1 Grundlstg mSt'!$1:$12</definedName>
    <definedName name="_xlnm.Print_Titles" localSheetId="4">'StB-C2 Grundlstg oSt'!$1:$12</definedName>
    <definedName name="_xlnm.Print_Titles" localSheetId="5">'StB-D1 Besondere Lstg'!$1:$12</definedName>
    <definedName name="Link_A_anrKosten">'A Fläche'!$E$5</definedName>
    <definedName name="Link_B_HonorarZ">'B HZone'!$D$5:$F$5</definedName>
    <definedName name="Link_E_Honorar">'E Honorarberechnung'!$F$5:$H$5</definedName>
    <definedName name="Link_F_Uebersicht">'F Honorarübersicht'!$D$5:$H$5</definedName>
    <definedName name="Link_G_Abrechnung">'G Honorarabrechnung'!$D$6:$I$6</definedName>
    <definedName name="Link_H_HOAI">'H §31 HOAI'!$B$2</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'StB-C2 Grundlstg oSt'!$F$5</definedName>
    <definedName name="Link_StBD1_BesLstg">'StB-D1 Besondere Lstg'!$F$5:$G$5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3" l="1"/>
  <c r="B10" i="13"/>
  <c r="G20" i="11"/>
  <c r="I27" i="16"/>
  <c r="I26" i="16"/>
  <c r="C12" i="13" l="1"/>
  <c r="B27" i="23" l="1"/>
  <c r="B29" i="23"/>
  <c r="B30" i="23"/>
  <c r="I29" i="23"/>
  <c r="G29" i="23"/>
  <c r="B19" i="23"/>
  <c r="B20" i="23"/>
  <c r="B21" i="23"/>
  <c r="B22" i="23"/>
  <c r="B24" i="23"/>
  <c r="B25" i="23"/>
  <c r="B26" i="23"/>
  <c r="B28" i="23"/>
  <c r="I18" i="23"/>
  <c r="G18" i="23"/>
  <c r="B17" i="13"/>
  <c r="B18" i="23" s="1"/>
  <c r="B22" i="13"/>
  <c r="B23" i="23" s="1"/>
  <c r="D80" i="12"/>
  <c r="K149" i="25"/>
  <c r="K146" i="25"/>
  <c r="K143" i="25"/>
  <c r="K56" i="25"/>
  <c r="K65" i="25"/>
  <c r="K38" i="25"/>
  <c r="K35" i="25"/>
  <c r="K32" i="25"/>
  <c r="K29" i="25"/>
  <c r="K26" i="25"/>
  <c r="F15" i="13" l="1"/>
  <c r="K158" i="25"/>
  <c r="J160" i="24"/>
  <c r="J157" i="24"/>
  <c r="J140" i="28"/>
  <c r="J128" i="28"/>
  <c r="J122" i="28"/>
  <c r="J119" i="28"/>
  <c r="J113" i="28"/>
  <c r="J110" i="28"/>
  <c r="J106" i="28"/>
  <c r="J102" i="28"/>
  <c r="J92" i="28"/>
  <c r="J88" i="28"/>
  <c r="J82" i="28"/>
  <c r="J77" i="28"/>
  <c r="J67" i="28"/>
  <c r="J43" i="28"/>
  <c r="J40" i="28"/>
  <c r="J37" i="28"/>
  <c r="J31" i="28"/>
  <c r="J28" i="28"/>
  <c r="J17" i="28"/>
  <c r="L14" i="28"/>
  <c r="L13" i="28"/>
  <c r="F8" i="28"/>
  <c r="B8" i="28"/>
  <c r="F7" i="28"/>
  <c r="B7" i="28"/>
  <c r="F6" i="28"/>
  <c r="B6" i="28"/>
  <c r="I5" i="28"/>
  <c r="G5" i="28"/>
  <c r="F5" i="28"/>
  <c r="B5" i="28"/>
  <c r="O3" i="28"/>
  <c r="F30" i="16" s="1"/>
  <c r="I3" i="28"/>
  <c r="G3" i="28"/>
  <c r="G2" i="28"/>
  <c r="B2" i="28"/>
  <c r="F202" i="27" l="1"/>
  <c r="F56" i="27"/>
  <c r="F61"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4"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72"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36"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D23" i="13" s="1"/>
  <c r="H45" i="12"/>
  <c r="I172" i="24"/>
  <c r="D24" i="13" s="1"/>
  <c r="I76" i="24"/>
  <c r="I135" i="24"/>
  <c r="J172" i="24"/>
  <c r="E24" i="13" s="1"/>
  <c r="H11" i="24"/>
  <c r="J76" i="24"/>
  <c r="J135" i="24"/>
  <c r="I48" i="24"/>
  <c r="I120" i="24"/>
  <c r="J120" i="24"/>
  <c r="H11" i="28"/>
  <c r="I125" i="28"/>
  <c r="J46" i="28"/>
  <c r="I46" i="28"/>
  <c r="J125" i="28"/>
  <c r="I74" i="28"/>
  <c r="I140" i="28"/>
  <c r="J74" i="28"/>
  <c r="A13" i="28"/>
  <c r="A14" i="28"/>
  <c r="J103" i="24"/>
  <c r="J100" i="24"/>
  <c r="J91" i="24"/>
  <c r="D20" i="13" l="1"/>
  <c r="I142" i="28"/>
  <c r="I174" i="24"/>
  <c r="D18" i="13"/>
  <c r="D19" i="13"/>
  <c r="P79" i="12"/>
  <c r="E20" i="13"/>
  <c r="E21" i="13"/>
  <c r="P80" i="12"/>
  <c r="I137" i="24"/>
  <c r="D21" i="13"/>
  <c r="E19" i="13"/>
  <c r="P78" i="12"/>
  <c r="J142" i="28"/>
  <c r="J39" i="24"/>
  <c r="A21" i="16"/>
  <c r="A19" i="16"/>
  <c r="L14" i="24"/>
  <c r="L13" i="24"/>
  <c r="A22" i="16"/>
  <c r="I33" i="6"/>
  <c r="I30" i="6"/>
  <c r="I27" i="6"/>
  <c r="I24" i="6"/>
  <c r="I21" i="6"/>
  <c r="I18" i="6"/>
  <c r="G21" i="11"/>
  <c r="I35" i="6" l="1"/>
  <c r="B46" i="27"/>
  <c r="B42" i="27"/>
  <c r="B44" i="27"/>
  <c r="F3" i="27"/>
  <c r="E3" i="27"/>
  <c r="D3" i="27"/>
  <c r="C3" i="27"/>
  <c r="B3" i="27"/>
  <c r="B47" i="27"/>
  <c r="C45" i="27"/>
  <c r="B45" i="27"/>
  <c r="C43" i="27"/>
  <c r="B43" i="27"/>
  <c r="C41" i="27"/>
  <c r="B41" i="27"/>
  <c r="C38" i="27"/>
  <c r="C35" i="27"/>
  <c r="C12" i="27"/>
  <c r="C11" i="27"/>
  <c r="A6" i="16" l="1"/>
  <c r="A5" i="16"/>
  <c r="I36" i="6" l="1"/>
  <c r="K162" i="25"/>
  <c r="F206" i="27" s="1"/>
  <c r="K155" i="25"/>
  <c r="F199" i="27" s="1"/>
  <c r="K152" i="25"/>
  <c r="K160" i="25"/>
  <c r="K140" i="25"/>
  <c r="K137" i="25"/>
  <c r="F181" i="27" s="1"/>
  <c r="K116" i="25"/>
  <c r="K113" i="25"/>
  <c r="K110" i="25"/>
  <c r="K107" i="25"/>
  <c r="K104" i="25"/>
  <c r="K101" i="25"/>
  <c r="K98" i="25"/>
  <c r="K95" i="25"/>
  <c r="K92" i="25"/>
  <c r="K43" i="25"/>
  <c r="K41" i="25"/>
  <c r="J151" i="24"/>
  <c r="J148" i="24"/>
  <c r="J69" i="24"/>
  <c r="J51" i="24"/>
  <c r="J33" i="24"/>
  <c r="D94" i="12" l="1"/>
  <c r="D93" i="12"/>
  <c r="D92" i="12"/>
  <c r="P3" i="25" l="1"/>
  <c r="A14" i="24" l="1"/>
  <c r="A13" i="24"/>
  <c r="A18" i="12" l="1"/>
  <c r="A17" i="12"/>
  <c r="A56" i="12"/>
  <c r="A57" i="12"/>
  <c r="A55" i="12"/>
  <c r="A28" i="12"/>
  <c r="A14" i="16"/>
  <c r="A33" i="12"/>
  <c r="A13" i="16"/>
  <c r="A15" i="6"/>
  <c r="A12" i="6"/>
  <c r="A13" i="11"/>
  <c r="A12" i="11"/>
  <c r="A17" i="16"/>
  <c r="A16" i="16"/>
  <c r="A11" i="11"/>
  <c r="F8" i="12" l="1"/>
  <c r="B2" i="23" l="1"/>
  <c r="B2" i="13"/>
  <c r="B2" i="25"/>
  <c r="B2" i="24"/>
  <c r="B2" i="6"/>
  <c r="B2" i="11"/>
  <c r="F2" i="11"/>
  <c r="B2" i="12"/>
  <c r="I2" i="12"/>
  <c r="D96" i="12"/>
  <c r="G16" i="23"/>
  <c r="I16" i="23"/>
  <c r="I102" i="12"/>
  <c r="C104" i="12" s="1"/>
  <c r="D65" i="12" l="1"/>
  <c r="L14" i="13" s="1"/>
  <c r="C68" i="12"/>
  <c r="N14" i="13" s="1"/>
  <c r="E16" i="23" s="1"/>
  <c r="D23" i="12"/>
  <c r="D22" i="12"/>
  <c r="C80" i="12" l="1"/>
  <c r="D27" i="12" l="1"/>
  <c r="M12" i="13" l="1"/>
  <c r="I68" i="12"/>
  <c r="D32" i="12" l="1"/>
  <c r="M17" i="12" l="1"/>
  <c r="N17" i="12"/>
  <c r="D7" i="23" l="1"/>
  <c r="D6" i="23"/>
  <c r="B6" i="23"/>
  <c r="H5" i="23"/>
  <c r="G5" i="23"/>
  <c r="D5" i="23"/>
  <c r="B5" i="23"/>
  <c r="D8" i="23"/>
  <c r="H3" i="23"/>
  <c r="G3" i="23"/>
  <c r="G2" i="23"/>
  <c r="D7" i="13"/>
  <c r="D6" i="13"/>
  <c r="B6" i="13"/>
  <c r="J5" i="13"/>
  <c r="I5" i="13"/>
  <c r="D5" i="13"/>
  <c r="B5" i="13"/>
  <c r="D8" i="13"/>
  <c r="J3" i="13"/>
  <c r="I3" i="13"/>
  <c r="I2" i="13"/>
  <c r="F7" i="12"/>
  <c r="F6" i="12"/>
  <c r="B6" i="12"/>
  <c r="J5" i="12"/>
  <c r="I5" i="12"/>
  <c r="F5" i="12"/>
  <c r="B5" i="12"/>
  <c r="J3" i="12"/>
  <c r="I3" i="12"/>
  <c r="F7" i="25"/>
  <c r="B7" i="25"/>
  <c r="F6" i="25"/>
  <c r="B6" i="25"/>
  <c r="J5"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I21" i="23" l="1"/>
  <c r="I24" i="23"/>
  <c r="I25" i="23"/>
  <c r="I27" i="23"/>
  <c r="I28" i="23"/>
  <c r="I30" i="23"/>
  <c r="I37" i="23" l="1"/>
  <c r="I38" i="23"/>
  <c r="I39" i="23"/>
  <c r="I40" i="23"/>
  <c r="I41" i="23"/>
  <c r="I36" i="23"/>
  <c r="M55" i="12" l="1"/>
  <c r="N55" i="12"/>
  <c r="O57" i="12"/>
  <c r="O56" i="12"/>
  <c r="L40" i="12" l="1"/>
  <c r="O40" i="12" s="1"/>
  <c r="L41" i="12"/>
  <c r="O41" i="12" s="1"/>
  <c r="M39" i="12" l="1"/>
  <c r="L3" i="16"/>
  <c r="G24" i="23" l="1"/>
  <c r="G25" i="23"/>
  <c r="G30" i="23"/>
  <c r="C20" i="23"/>
  <c r="C21" i="23"/>
  <c r="C22" i="23"/>
  <c r="C24" i="23"/>
  <c r="C25" i="23"/>
  <c r="C19" i="23"/>
  <c r="I29" i="16" l="1"/>
  <c r="I28" i="16"/>
  <c r="I30" i="16" l="1"/>
  <c r="I5" i="24" l="1"/>
  <c r="I3" i="24"/>
  <c r="G5" i="24"/>
  <c r="G3" i="24"/>
  <c r="F31" i="16"/>
  <c r="O3" i="24"/>
  <c r="F29" i="16" s="1"/>
  <c r="K134" i="25"/>
  <c r="F178" i="27" s="1"/>
  <c r="K131" i="25"/>
  <c r="K128" i="25"/>
  <c r="K125" i="25"/>
  <c r="F169" i="27" s="1"/>
  <c r="K120" i="25"/>
  <c r="K118" i="25"/>
  <c r="K89" i="25"/>
  <c r="K86" i="25"/>
  <c r="K83" i="25"/>
  <c r="K122" i="25" s="1"/>
  <c r="K80" i="25"/>
  <c r="K75" i="25"/>
  <c r="K73" i="25"/>
  <c r="K71" i="25"/>
  <c r="K77" i="25" s="1"/>
  <c r="K68" i="25"/>
  <c r="K62" i="25"/>
  <c r="K59" i="25"/>
  <c r="K53" i="25"/>
  <c r="K50" i="25"/>
  <c r="K45" i="25"/>
  <c r="K23" i="25"/>
  <c r="K20" i="25"/>
  <c r="K17" i="25"/>
  <c r="K14" i="25"/>
  <c r="F58" i="27" s="1"/>
  <c r="J169" i="24"/>
  <c r="J163" i="24"/>
  <c r="J154" i="24"/>
  <c r="J145" i="24"/>
  <c r="J142" i="24"/>
  <c r="J123" i="24"/>
  <c r="J117" i="24"/>
  <c r="J114" i="24"/>
  <c r="J109" i="24"/>
  <c r="J106" i="24"/>
  <c r="J88" i="24"/>
  <c r="J83" i="24"/>
  <c r="J79" i="24"/>
  <c r="J45" i="24"/>
  <c r="J42" i="24"/>
  <c r="J30" i="24"/>
  <c r="J19" i="24"/>
  <c r="J48" i="24" l="1"/>
  <c r="J137" i="24"/>
  <c r="K47" i="25"/>
  <c r="K164" i="25"/>
  <c r="J174" i="24"/>
  <c r="J166" i="24"/>
  <c r="E23" i="13" s="1"/>
  <c r="K3" i="4"/>
  <c r="F35" i="16" s="1"/>
  <c r="M3" i="23"/>
  <c r="F34" i="16" s="1"/>
  <c r="R3" i="13"/>
  <c r="F33" i="16" s="1"/>
  <c r="P3" i="12"/>
  <c r="F32" i="16" s="1"/>
  <c r="N3" i="6"/>
  <c r="F28" i="16" s="1"/>
  <c r="L3" i="11"/>
  <c r="F27" i="16" s="1"/>
  <c r="E18" i="13" l="1"/>
  <c r="P77" i="12"/>
  <c r="B47" i="23"/>
  <c r="Q79" i="12"/>
  <c r="I28" i="13" s="1"/>
  <c r="Q80" i="12"/>
  <c r="I29" i="13" s="1"/>
  <c r="Q78" i="12"/>
  <c r="I27" i="13" s="1"/>
  <c r="Q77" i="12" l="1"/>
  <c r="K166" i="25"/>
  <c r="J176" i="24"/>
  <c r="I46" i="12" s="1"/>
  <c r="I176" i="24"/>
  <c r="C16" i="27"/>
  <c r="O78" i="12"/>
  <c r="D31" i="13"/>
  <c r="H5" i="6"/>
  <c r="H3" i="6"/>
  <c r="G5" i="11"/>
  <c r="G3" i="11"/>
  <c r="G5" i="6"/>
  <c r="G3" i="6"/>
  <c r="G2" i="6"/>
  <c r="D8" i="6"/>
  <c r="D7" i="6"/>
  <c r="E8" i="11"/>
  <c r="E7" i="11"/>
  <c r="F3" i="11"/>
  <c r="O77" i="12" l="1"/>
  <c r="I26" i="13"/>
  <c r="C30" i="27"/>
  <c r="N39" i="12" l="1"/>
  <c r="O39" i="12" s="1"/>
  <c r="D43" i="12" s="1"/>
  <c r="D42" i="12" l="1"/>
  <c r="T10" i="13"/>
  <c r="G15" i="13" l="1"/>
  <c r="C28" i="27"/>
  <c r="C24" i="27"/>
  <c r="E7" i="4"/>
  <c r="C26" i="27"/>
  <c r="I15" i="12" l="1"/>
  <c r="H12" i="13" s="1"/>
  <c r="O79" i="12"/>
  <c r="C14" i="27"/>
  <c r="C9" i="27" l="1"/>
  <c r="C22" i="27"/>
  <c r="C18" i="27"/>
  <c r="O80" i="12"/>
  <c r="E31" i="13" l="1"/>
  <c r="C20" i="27"/>
  <c r="P86" i="12"/>
  <c r="E6" i="4" l="1"/>
  <c r="C10" i="4" l="1"/>
  <c r="D10" i="4" s="1"/>
  <c r="I14" i="12"/>
  <c r="I20" i="11"/>
  <c r="M14" i="12" s="1"/>
  <c r="D13" i="13"/>
  <c r="E10" i="4" l="1"/>
  <c r="C8" i="27"/>
  <c r="E13" i="13"/>
  <c r="E14" i="23" s="1"/>
  <c r="A24" i="12"/>
  <c r="I12" i="13"/>
  <c r="O19" i="12"/>
  <c r="L14" i="12"/>
  <c r="O17" i="12" s="1"/>
  <c r="C11" i="4"/>
  <c r="E11" i="4" l="1"/>
  <c r="F11" i="4" s="1"/>
  <c r="D11" i="4"/>
  <c r="F10" i="4" s="1"/>
  <c r="I22" i="12" s="1"/>
  <c r="J22" i="12" s="1"/>
  <c r="D24" i="12"/>
  <c r="J23" i="12"/>
  <c r="A23" i="12"/>
  <c r="J51" i="12"/>
  <c r="H21" i="12"/>
  <c r="E25" i="12"/>
  <c r="J33" i="12" l="1"/>
  <c r="I29" i="12"/>
  <c r="J29" i="12" s="1"/>
  <c r="J36" i="12" l="1"/>
  <c r="F43" i="23"/>
  <c r="C10" i="27" l="1"/>
  <c r="P36" i="12"/>
  <c r="N13" i="13"/>
  <c r="J42" i="12"/>
  <c r="J43" i="12" s="1"/>
  <c r="J47" i="12" l="1"/>
  <c r="J52" i="12" s="1"/>
  <c r="C13" i="27"/>
  <c r="I31" i="13"/>
  <c r="C33" i="27" s="1"/>
  <c r="O55" i="12" l="1"/>
  <c r="J56" i="12" l="1"/>
  <c r="J57" i="12"/>
  <c r="J65" i="12" l="1"/>
  <c r="F18" i="13" s="1"/>
  <c r="G18" i="13" s="1"/>
  <c r="J18" i="13" s="1"/>
  <c r="I22" i="23"/>
  <c r="F24" i="13" l="1"/>
  <c r="G24" i="13" s="1"/>
  <c r="J24" i="13" s="1"/>
  <c r="F21" i="13"/>
  <c r="G21" i="13" s="1"/>
  <c r="F19" i="13"/>
  <c r="G19" i="13" s="1"/>
  <c r="F20" i="13"/>
  <c r="G20" i="13" s="1"/>
  <c r="F23" i="13"/>
  <c r="G23" i="13" s="1"/>
  <c r="J66" i="12"/>
  <c r="J68" i="12" s="1"/>
  <c r="J97" i="12" s="1"/>
  <c r="C15" i="27"/>
  <c r="C25" i="27"/>
  <c r="C19" i="27" l="1"/>
  <c r="J20" i="13"/>
  <c r="C17" i="27"/>
  <c r="J19" i="13"/>
  <c r="C21" i="27"/>
  <c r="J21" i="13"/>
  <c r="C23" i="27"/>
  <c r="J23" i="13"/>
  <c r="J28" i="13"/>
  <c r="J93" i="12"/>
  <c r="C44" i="27" s="1"/>
  <c r="C31" i="27"/>
  <c r="J26" i="13"/>
  <c r="J27" i="13"/>
  <c r="J92" i="12"/>
  <c r="C42" i="27" s="1"/>
  <c r="J94" i="12"/>
  <c r="C46" i="27" s="1"/>
  <c r="J96" i="12"/>
  <c r="C47" i="27" s="1"/>
  <c r="J29" i="13"/>
  <c r="C32" i="27"/>
  <c r="F31" i="13"/>
  <c r="C27" i="27" l="1"/>
  <c r="G31" i="13"/>
  <c r="C29" i="27"/>
  <c r="J98" i="12"/>
  <c r="J101" i="12" s="1"/>
  <c r="C48" i="27" s="1"/>
  <c r="J31" i="13"/>
  <c r="K21" i="13" l="1"/>
  <c r="L21" i="13" s="1"/>
  <c r="M21" i="13" s="1"/>
  <c r="N21" i="13" s="1"/>
  <c r="E22" i="23" s="1"/>
  <c r="G22" i="23" s="1"/>
  <c r="K27" i="13"/>
  <c r="L27" i="13" s="1"/>
  <c r="M27" i="13" s="1"/>
  <c r="N27" i="13" s="1"/>
  <c r="K19" i="13"/>
  <c r="L19" i="13" s="1"/>
  <c r="M19" i="13" s="1"/>
  <c r="N19" i="13" s="1"/>
  <c r="E20" i="23" s="1"/>
  <c r="G20" i="23" s="1"/>
  <c r="I20" i="23" s="1"/>
  <c r="K28" i="13"/>
  <c r="L28" i="13" s="1"/>
  <c r="M28" i="13" s="1"/>
  <c r="N28" i="13" s="1"/>
  <c r="E29" i="23" s="1"/>
  <c r="K20" i="13"/>
  <c r="L20" i="13" s="1"/>
  <c r="M20" i="13" s="1"/>
  <c r="N20" i="13" s="1"/>
  <c r="E21" i="23" s="1"/>
  <c r="G21" i="23" s="1"/>
  <c r="K24" i="13"/>
  <c r="L24" i="13" s="1"/>
  <c r="M24" i="13" s="1"/>
  <c r="N24" i="13" s="1"/>
  <c r="E25" i="23" s="1"/>
  <c r="K29" i="13"/>
  <c r="L29" i="13" s="1"/>
  <c r="M29" i="13" s="1"/>
  <c r="N29" i="13" s="1"/>
  <c r="E30" i="23" s="1"/>
  <c r="K26" i="13"/>
  <c r="L26" i="13" s="1"/>
  <c r="M26" i="13" s="1"/>
  <c r="N26" i="13" s="1"/>
  <c r="E27" i="23" s="1"/>
  <c r="K18" i="13"/>
  <c r="K23" i="13"/>
  <c r="L23" i="13" s="1"/>
  <c r="M23" i="13" s="1"/>
  <c r="N23" i="13" s="1"/>
  <c r="E24" i="23" s="1"/>
  <c r="J102" i="12"/>
  <c r="J104" i="12" s="1"/>
  <c r="C50" i="27" s="1"/>
  <c r="C34" i="27"/>
  <c r="G27" i="23" l="1"/>
  <c r="E28" i="23"/>
  <c r="G28" i="23"/>
  <c r="G3" i="27"/>
  <c r="C49" i="27"/>
  <c r="K31" i="13"/>
  <c r="C36" i="27" s="1"/>
  <c r="L18" i="13"/>
  <c r="L31" i="13" s="1"/>
  <c r="C37" i="27" s="1"/>
  <c r="M18" i="13" l="1"/>
  <c r="M31" i="13" s="1"/>
  <c r="C39" i="27" s="1"/>
  <c r="N18" i="13" l="1"/>
  <c r="N31" i="13" s="1"/>
  <c r="C40" i="27" s="1"/>
  <c r="E19" i="23" l="1"/>
  <c r="G19" i="23" s="1"/>
  <c r="G32" i="23" s="1"/>
  <c r="G43" i="23" s="1"/>
  <c r="I19" i="23" l="1"/>
  <c r="I32" i="23" s="1"/>
  <c r="I43" i="23" s="1"/>
  <c r="I46" i="23" s="1"/>
  <c r="I47" i="23" s="1"/>
  <c r="I50" i="23" s="1"/>
  <c r="E32" i="23"/>
</calcChain>
</file>

<file path=xl/sharedStrings.xml><?xml version="1.0" encoding="utf-8"?>
<sst xmlns="http://schemas.openxmlformats.org/spreadsheetml/2006/main" count="1022" uniqueCount="666">
  <si>
    <t>nach Kostenberechnung</t>
  </si>
  <si>
    <t>Zeile [Z]</t>
  </si>
  <si>
    <t>4.1</t>
  </si>
  <si>
    <t>4.2</t>
  </si>
  <si>
    <t>4.3</t>
  </si>
  <si>
    <t>4.4</t>
  </si>
  <si>
    <t>4.5</t>
  </si>
  <si>
    <t>4.6</t>
  </si>
  <si>
    <t>4.7</t>
  </si>
  <si>
    <t>5.1</t>
  </si>
  <si>
    <t xml:space="preserve"> </t>
  </si>
  <si>
    <t>nach Kostenschätzung</t>
  </si>
  <si>
    <t>Honorarzone</t>
  </si>
  <si>
    <t>Höchstsatz</t>
  </si>
  <si>
    <t>Bewertungs-
merkmal</t>
  </si>
  <si>
    <t>(1-2)</t>
  </si>
  <si>
    <t>(5-6)</t>
  </si>
  <si>
    <t>4.01</t>
  </si>
  <si>
    <t>3.03</t>
  </si>
  <si>
    <t>3.02</t>
  </si>
  <si>
    <t>3.01</t>
  </si>
  <si>
    <t>2.03</t>
  </si>
  <si>
    <t>2.02</t>
  </si>
  <si>
    <t>2.01</t>
  </si>
  <si>
    <t>1.03</t>
  </si>
  <si>
    <t>1.02</t>
  </si>
  <si>
    <t>1.01</t>
  </si>
  <si>
    <t>h</t>
  </si>
  <si>
    <t>HOAI</t>
  </si>
  <si>
    <t>Einheit</t>
  </si>
  <si>
    <t>Menge</t>
  </si>
  <si>
    <t>4.03</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</si>
  <si>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</si>
  <si>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</si>
  <si>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</si>
  <si>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</si>
  <si>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</si>
  <si>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</si>
  <si>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</si>
  <si>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</si>
  <si>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</si>
  <si>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</si>
  <si>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</si>
  <si>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</si>
  <si>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</si>
  <si>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</si>
  <si>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</si>
  <si>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</si>
  <si>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</si>
  <si>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</si>
  <si>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</si>
  <si>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</si>
  <si>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</si>
  <si>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</si>
  <si>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</si>
  <si>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</si>
  <si>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</si>
  <si>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</si>
  <si>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</si>
  <si>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</si>
  <si>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</si>
  <si>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</si>
  <si>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</si>
  <si>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</si>
  <si>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</si>
  <si>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</si>
  <si>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</si>
  <si>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</si>
  <si>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</si>
  <si>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</si>
  <si>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</si>
  <si>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</si>
  <si>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</si>
  <si>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</si>
  <si>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</si>
  <si>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Zone 1 
Min
EURO</t>
  </si>
  <si>
    <t>Zone 2 
Min
EURO</t>
  </si>
  <si>
    <t>Zone 3 
Min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</si>
  <si>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</si>
  <si>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</si>
  <si>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</si>
  <si>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</si>
  <si>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</si>
  <si>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</si>
  <si>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</si>
  <si>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</si>
  <si>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</si>
  <si>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</si>
  <si>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</si>
  <si>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</si>
  <si>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</si>
  <si>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</si>
  <si>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</si>
  <si>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</si>
  <si>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</si>
  <si>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</si>
  <si>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</si>
  <si>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</si>
  <si>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</si>
  <si>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</si>
  <si>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</si>
  <si>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</si>
  <si>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</si>
  <si>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</si>
  <si>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</si>
  <si>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</si>
  <si>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</si>
  <si>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</si>
  <si>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</si>
  <si>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</si>
  <si>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r>
      <t>nach Kostenrahmen</t>
    </r>
    <r>
      <rPr>
        <sz val="8"/>
        <color theme="1"/>
        <rFont val="Arial"/>
        <family val="2"/>
      </rPr>
      <t xml:space="preserve"> (nur bei Straßenbau)</t>
    </r>
  </si>
  <si>
    <t>Bezeichnung Tabellenblatt:</t>
  </si>
  <si>
    <t>Teil</t>
  </si>
  <si>
    <t>A</t>
  </si>
  <si>
    <t>B</t>
  </si>
  <si>
    <t>E</t>
  </si>
  <si>
    <t>Honorarberechnung</t>
  </si>
  <si>
    <t>F</t>
  </si>
  <si>
    <t>G</t>
  </si>
  <si>
    <t>H</t>
  </si>
  <si>
    <t>Honorarabrechnung</t>
  </si>
  <si>
    <t>Teil A</t>
  </si>
  <si>
    <t>Teil B</t>
  </si>
  <si>
    <t>Teil E</t>
  </si>
  <si>
    <t>Teil F</t>
  </si>
  <si>
    <t>1.04</t>
  </si>
  <si>
    <t>1.05</t>
  </si>
  <si>
    <t>1.06</t>
  </si>
  <si>
    <t>2.04</t>
  </si>
  <si>
    <t>2.05</t>
  </si>
  <si>
    <t>2.06</t>
  </si>
  <si>
    <t>3.04</t>
  </si>
  <si>
    <t>3.05</t>
  </si>
  <si>
    <t>3.06</t>
  </si>
  <si>
    <t>StB-C1</t>
  </si>
  <si>
    <t>StB-D1</t>
  </si>
  <si>
    <t>Teil G</t>
  </si>
  <si>
    <t>-</t>
  </si>
  <si>
    <t>2.07</t>
  </si>
  <si>
    <t>2.08</t>
  </si>
  <si>
    <t>2.09</t>
  </si>
  <si>
    <t>2.10</t>
  </si>
  <si>
    <t>3.07</t>
  </si>
  <si>
    <t>3.08</t>
  </si>
  <si>
    <t>3.09</t>
  </si>
  <si>
    <t>3.10</t>
  </si>
  <si>
    <t>4.02</t>
  </si>
  <si>
    <t>4.04</t>
  </si>
  <si>
    <t>4.05</t>
  </si>
  <si>
    <t>Auftragsabwicklung</t>
  </si>
  <si>
    <t>beauf-tragt</t>
  </si>
  <si>
    <t>beauftragte Summe</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</si>
  <si>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</si>
  <si>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</si>
  <si>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</si>
  <si>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</si>
  <si>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</si>
  <si>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</si>
  <si>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</si>
  <si>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</si>
  <si>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</si>
  <si>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</si>
  <si>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</si>
  <si>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</si>
  <si>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</si>
  <si>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</si>
  <si>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</si>
  <si>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</si>
  <si>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</si>
  <si>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</si>
  <si>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Hauptauftrag</t>
  </si>
  <si>
    <t>Bezeichnung</t>
  </si>
  <si>
    <t>Abrechnung</t>
  </si>
  <si>
    <t>Honorarsumme (kummulativ)</t>
  </si>
  <si>
    <t>bisher abgerechnet:</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</si>
  <si>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</si>
  <si>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</si>
  <si>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</si>
  <si>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</si>
  <si>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</si>
  <si>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</si>
  <si>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</si>
  <si>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</si>
  <si>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</si>
  <si>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</si>
  <si>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</si>
  <si>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</si>
  <si>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</si>
  <si>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</si>
  <si>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</si>
  <si>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</si>
  <si>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</si>
  <si>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</si>
  <si>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</si>
  <si>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</si>
  <si>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</si>
  <si>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</si>
  <si>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</si>
  <si>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Prozent</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</si>
  <si>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</si>
  <si>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</si>
  <si>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</si>
  <si>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</si>
  <si>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</si>
  <si>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</si>
  <si>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</si>
  <si>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</si>
  <si>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</si>
  <si>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</si>
  <si>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</si>
  <si>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</si>
  <si>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</si>
  <si>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Teil StB-D1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</si>
  <si>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</si>
  <si>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</si>
  <si>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</si>
  <si>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</si>
  <si>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</si>
  <si>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</si>
  <si>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</si>
  <si>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erbrachte Leistung
</t>
  </si>
  <si>
    <t>Teil dieser Angebotsabfrage, -erstellung und Abrechnung sind:</t>
  </si>
  <si>
    <t xml:space="preserve">  Honorarzone</t>
  </si>
  <si>
    <t>StB Besondere Lstg.</t>
  </si>
  <si>
    <t>10.3</t>
  </si>
  <si>
    <t>Honorar - Hauptauftrag</t>
  </si>
  <si>
    <t>Auszahlungsbetrag:</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</si>
  <si>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</si>
  <si>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</si>
  <si>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</si>
  <si>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</si>
  <si>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</si>
  <si>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</si>
  <si>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</si>
  <si>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</si>
  <si>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</si>
  <si>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</si>
  <si>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</si>
  <si>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Festlegung der Besonderen Leistungen Straßenbau</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</si>
  <si>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</si>
  <si>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</si>
  <si>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</si>
  <si>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zusätzliche Leistung</t>
  </si>
  <si>
    <t>6.1</t>
  </si>
  <si>
    <t>15.1</t>
  </si>
  <si>
    <t>15.2</t>
  </si>
  <si>
    <t>15.3</t>
  </si>
  <si>
    <t xml:space="preserve">Bewertung
</t>
  </si>
  <si>
    <t>Abrechnung des Honorars</t>
  </si>
  <si>
    <t>Orientie-rungswert</t>
  </si>
  <si>
    <t>4.06</t>
  </si>
  <si>
    <t>EP</t>
  </si>
  <si>
    <t>Leistungsstufen/ 
   Leistungsphasen</t>
  </si>
  <si>
    <t>Vertragsergänzung</t>
  </si>
  <si>
    <t>Honorar incl. Vertragsergänzungen</t>
  </si>
  <si>
    <t>Ergänzung 01</t>
  </si>
  <si>
    <t>Ergänzung 02</t>
  </si>
  <si>
    <t>Ergänzung 03</t>
  </si>
  <si>
    <t>Ergänzung 04</t>
  </si>
  <si>
    <t>Ergänzung 05</t>
  </si>
  <si>
    <t>Ergänzung 06</t>
  </si>
  <si>
    <t>Nr.</t>
  </si>
  <si>
    <t>incl. Stufenabruf Nr.:</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</si>
  <si>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</si>
  <si>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</si>
  <si>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</si>
  <si>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</si>
  <si>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</si>
  <si>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</si>
  <si>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 xml:space="preserve">Honorarabrechnung
</t>
  </si>
  <si>
    <t>Ermittlung der Bewertungspunkte 
nach Schwierigkeitsgrad gem. § 5 (1) HOAI</t>
  </si>
  <si>
    <t>4.10</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</si>
  <si>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</si>
  <si>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</si>
  <si>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</si>
  <si>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</si>
  <si>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</si>
  <si>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</si>
  <si>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</si>
  <si>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</si>
  <si>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</si>
  <si>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</si>
  <si>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</si>
  <si>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</si>
  <si>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</si>
  <si>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</si>
  <si>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</si>
  <si>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</si>
  <si>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</si>
  <si>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</si>
  <si>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</si>
  <si>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</si>
  <si>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</si>
  <si>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t>3.11</t>
  </si>
  <si>
    <t>3.12</t>
  </si>
  <si>
    <t>3.13</t>
  </si>
  <si>
    <t>3.14</t>
  </si>
  <si>
    <t>3.15</t>
  </si>
  <si>
    <t>4.07</t>
  </si>
  <si>
    <t>4.08</t>
  </si>
  <si>
    <t>4.09</t>
  </si>
  <si>
    <t>4.11</t>
  </si>
  <si>
    <t>Hinweis:</t>
  </si>
  <si>
    <t xml:space="preserve">Für folgende Besondere Leistungen bei landschaftsplanerischen Leistungen liegen gesonderte Formblätter zur Leistungsbeschreibung, -bewertung und Honorarermittlung vor:
Faunistische Planungsraumanalyse,
Faunistischen Erhebungen,
Artenschutzbeitrag SAB / saP,
FFH-Verträglichkeitsprüfung </t>
  </si>
  <si>
    <r>
      <t xml:space="preserve">Summe Leistungsphase 1 </t>
    </r>
    <r>
      <rPr>
        <b/>
        <sz val="8"/>
        <color theme="1"/>
        <rFont val="Arial"/>
        <family val="2"/>
      </rPr>
      <t xml:space="preserve">(VHF max. 3,00 %) </t>
    </r>
  </si>
  <si>
    <t>1.07</t>
  </si>
  <si>
    <t xml:space="preserve">Abrechnungsstand vom: </t>
  </si>
  <si>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Bei mehreren Angebotsdateien ist die Bezeichnung der Honorarangebotsdatei manuell in das "Angebotsdokument" zu übertragen.
Um unbeabsichtigten Änderungen insbesondere in den Formeln vorzubeugen, wurden die Tabellenblätter geschützt. </t>
    </r>
  </si>
  <si>
    <t>4.9</t>
  </si>
  <si>
    <t>LPh 1 bis 9 (Teil A Z 5)</t>
  </si>
  <si>
    <t>Honorartafel nach §40 HOAI</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</si>
  <si>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Bei mehreren Angebotsdateien ist die "</t>
    </r>
    <r>
      <rPr>
        <b/>
        <sz val="10"/>
        <color theme="1"/>
        <rFont val="Arial"/>
        <family val="2"/>
      </rPr>
      <t>Angebotssumme</t>
    </r>
    <r>
      <rPr>
        <sz val="10"/>
        <color theme="1"/>
        <rFont val="Arial"/>
        <family val="2"/>
      </rPr>
      <t xml:space="preserve"> brutto" in Teil E vom Bieter manuell in das "Angebotsdokument" zu übertragen. Es gelten die Einheitspreise in der Angebotsdatei.
Um unbeabsichtigten Änderungen insbesondere in den Formeln vorzubeugen, wurden die Tabellenblätter geschützt. </t>
    </r>
  </si>
  <si>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</si>
  <si>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</si>
  <si>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</si>
  <si>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</si>
  <si>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</si>
  <si>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</si>
  <si>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</si>
  <si>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</si>
  <si>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</si>
  <si>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</si>
  <si>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</si>
  <si>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</si>
  <si>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</si>
  <si>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</si>
  <si>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</si>
  <si>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</si>
  <si>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</si>
  <si>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</si>
  <si>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</si>
  <si>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</si>
  <si>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</si>
  <si>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</si>
  <si>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</si>
  <si>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</si>
  <si>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</si>
  <si>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</si>
  <si>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</si>
  <si>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</si>
  <si>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</si>
  <si>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</si>
  <si>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</si>
  <si>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</si>
  <si>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</si>
  <si>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</si>
  <si>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</si>
  <si>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</si>
  <si>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</si>
  <si>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</si>
  <si>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</si>
  <si>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</si>
  <si>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</si>
  <si>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</si>
  <si>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</si>
  <si>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</si>
  <si>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</si>
  <si>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</si>
  <si>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Landschaftspflegerischer Begleitplan</t>
  </si>
  <si>
    <t xml:space="preserve">- frei - </t>
  </si>
  <si>
    <t>Fläche des Planungsgebietes</t>
  </si>
  <si>
    <t>ha</t>
  </si>
  <si>
    <r>
      <t xml:space="preserve">Fläche des Planungsgebietes, </t>
    </r>
    <r>
      <rPr>
        <sz val="10"/>
        <rFont val="Arial"/>
        <family val="2"/>
      </rPr>
      <t>welche der Honorarermittlung zugrunde gelegt wird</t>
    </r>
    <r>
      <rPr>
        <b/>
        <sz val="10"/>
        <rFont val="Arial"/>
        <family val="2"/>
      </rPr>
      <t>:</t>
    </r>
  </si>
  <si>
    <t>Ermittelte Fläche des Planungsgebietes</t>
  </si>
  <si>
    <t>Fläche</t>
  </si>
  <si>
    <t>Ermittlung der Fläche des Planungsgebietes</t>
  </si>
  <si>
    <t>nach § 31 HOAI</t>
  </si>
  <si>
    <t>Honorartafel zu § 31 - Landschaftspflegerischer Begleitplan</t>
  </si>
  <si>
    <t>Fläche in ha</t>
  </si>
  <si>
    <t>Zone 3 
Max
EURO</t>
  </si>
  <si>
    <r>
      <t>Honorarzone</t>
    </r>
    <r>
      <rPr>
        <b/>
        <sz val="8"/>
        <color theme="1"/>
        <rFont val="Arial"/>
        <family val="2"/>
      </rPr>
      <t xml:space="preserve"> </t>
    </r>
    <r>
      <rPr>
        <sz val="8"/>
        <color theme="1"/>
        <rFont val="Arial"/>
        <family val="2"/>
      </rPr>
      <t xml:space="preserve">gem. § 31 (3) HOAI </t>
    </r>
  </si>
  <si>
    <r>
      <t xml:space="preserve">durch Bepunktung </t>
    </r>
    <r>
      <rPr>
        <sz val="8"/>
        <color theme="1"/>
        <rFont val="Arial"/>
        <family val="2"/>
      </rPr>
      <t>gem. § 31 (4) und (5) HOAI</t>
    </r>
    <r>
      <rPr>
        <sz val="10"/>
        <color theme="1"/>
        <rFont val="Arial"/>
        <family val="2"/>
      </rPr>
      <t xml:space="preserve"> </t>
    </r>
  </si>
  <si>
    <t>bis zu 16 Punkte  = Honorarzone 1</t>
  </si>
  <si>
    <t>17 bis 30 Punkte  = Honorarzone 2</t>
  </si>
  <si>
    <t>31 bis 42 Punkte  = Honorarzone 3</t>
  </si>
  <si>
    <t>gering ausgeprägt, einheitlich</t>
  </si>
  <si>
    <t>schwach</t>
  </si>
  <si>
    <t>stark differenziert, kleinräumig</t>
  </si>
  <si>
    <t>stark gegliedert bzw. intensiv</t>
  </si>
  <si>
    <t>umfangreich und vielgestaltig</t>
  </si>
  <si>
    <t>Ökologisch bedeutsame Strukturen und Schutzgebiete</t>
  </si>
  <si>
    <t>Landschaftsbild und Erholungsnutzung</t>
  </si>
  <si>
    <t>Nutzungsansprüche</t>
  </si>
  <si>
    <t xml:space="preserve">Anforderungen an die Gestaltung von Landschaft und Freiraum
</t>
  </si>
  <si>
    <t>Empfindlichkeit gegenüber Umweltbelastungen und Beeinträchtigungen von Natur und Landschaft</t>
  </si>
  <si>
    <t>(1-9 Punkte)</t>
  </si>
  <si>
    <t>Potenzielle Beeinträchtigungsintensität der Maßnahme</t>
  </si>
  <si>
    <t>(1-3)</t>
  </si>
  <si>
    <t>(3-4)</t>
  </si>
  <si>
    <t>(4-6)</t>
  </si>
  <si>
    <t>(7-9)</t>
  </si>
  <si>
    <t>Der Honorarermittlung wird die Fläche des Planungsgebietes zugrunde gelegt.</t>
  </si>
  <si>
    <t>Diese beträgt gemäß Anlage Nr.</t>
  </si>
  <si>
    <t>Bearbeitung</t>
  </si>
  <si>
    <t>ohne stufenweise Bearbeitung des LBP</t>
  </si>
  <si>
    <t>Die Leistungen der Entwurfs- und Genehmigungsplanung des LBP werden nicht in Stufen bearbeitet, sondern als eigenständiger LBP mit allen Grundleistungen nach § 26 (1) HOAI mit max.100 % vergeben.</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</si>
  <si>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</si>
  <si>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</si>
  <si>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</si>
  <si>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</si>
  <si>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</si>
  <si>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</si>
  <si>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</si>
  <si>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</si>
  <si>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</si>
  <si>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</si>
  <si>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</si>
  <si>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</si>
  <si>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</si>
  <si>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</si>
  <si>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</si>
  <si>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</si>
  <si>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</si>
  <si>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</si>
  <si>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</si>
  <si>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</si>
  <si>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</si>
  <si>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</si>
  <si>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</si>
  <si>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</si>
  <si>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</si>
  <si>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</si>
  <si>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</si>
  <si>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</si>
  <si>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</si>
  <si>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</si>
  <si>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</si>
  <si>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</si>
  <si>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</si>
  <si>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</si>
  <si>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</si>
  <si>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</si>
  <si>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</si>
  <si>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</si>
  <si>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</si>
  <si>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</si>
  <si>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</si>
  <si>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</si>
  <si>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</si>
  <si>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</si>
  <si>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</si>
  <si>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</si>
  <si>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</si>
  <si>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</si>
  <si>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</si>
  <si>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</si>
  <si>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</si>
  <si>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</si>
  <si>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</si>
  <si>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</si>
  <si>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r>
      <t xml:space="preserve">Summe Leistungsphase 3 </t>
    </r>
    <r>
      <rPr>
        <b/>
        <sz val="8"/>
        <color theme="1"/>
        <rFont val="Arial"/>
        <family val="2"/>
      </rPr>
      <t xml:space="preserve">(VHF max. 50,00 %) </t>
    </r>
  </si>
  <si>
    <t>Konfliktanalyse entsprechend der erforderlichen Detailschärfe:</t>
  </si>
  <si>
    <t>Ermitteln und Bewerten der durch das Vorhaben zu erwartenden Beeinträchtigungen des Naturhaushalts und des Landschaftsbildes nach Art, Umfang, Ort und zeitlichem Ablauf</t>
  </si>
  <si>
    <t>* von der VHF abweichende Bewertung mit 6,0 % da keine Bearbeitung in Stufen erfolgt. Bewertung gem. § 26 (1)  HOAI</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</si>
  <si>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</si>
  <si>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</si>
  <si>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Konfliktminderung entsprechend der erforderlichen Detailschärfe:</t>
  </si>
  <si>
    <t>Erarbeiten von Lösungen zur Vermeidung oder Verminderung erheblicher Beeinträchtigungen des Naturhaushalts und des Landschaftsbildes in Abstimmung mit den an der Planung fachlich Beteiligten</t>
  </si>
  <si>
    <t>* von der VHF abweichende Bewertung mit 11,75 % da keine Bearbeitung in Stufen erfolgt. Bewertung gem. § 26 (1) HOAI</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</si>
  <si>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</si>
  <si>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</si>
  <si>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</si>
  <si>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 xml:space="preserve">Ermitteln der unvermeidbaren Beeinträchtigungen entsprechend der </t>
  </si>
  <si>
    <t>erforderlichen Detailschärfe</t>
  </si>
  <si>
    <t>* von der VHF abweichende Bewertung mit 3,5 % da keine Bearbeitung in Stufen erfolgt. Bewertung gem. § 26 (1)  HOAI</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</si>
  <si>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</si>
  <si>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</si>
  <si>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Landschaftspflege, insbesondere Ausgleichs-, Ersatz- und Vermeidungsmaßnahmen sowie von Angaben zur Unterhaltung dem Grunde nach und Vorschläge zur rechtlichen Sicherung von Ausgleichs- und Ersatzmaßnahmen in der erforderlichen Detailschärfe.</t>
  </si>
  <si>
    <t>* von der VHF abweichende Bewertung mit 15,5 % da keine Bearbeitung in Stufen erfolgt. Bewertung gem.  § 26 (1) HOAI</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</si>
  <si>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</si>
  <si>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</si>
  <si>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</si>
  <si>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</si>
  <si>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</si>
  <si>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</si>
  <si>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</si>
  <si>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</si>
  <si>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</si>
  <si>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 von der VHF Abweichende Bewertung mit 2,25 % da keine Bearbeitung in Stufen erfolgt. Bewertung gem.  § 26 (1) HOAI</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</si>
  <si>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</si>
  <si>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</si>
  <si>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und Ausgleich und Ersatz einschließlich Darstellen verbleibender, nicht ausgleichbarer oder ersetzbarer Beeinträchtigungen entsprechend der erforderlichen Detailschärfe</t>
  </si>
  <si>
    <t>* von der VHF abweichende Bewertung mit 2,25 % da keine Bearbeitung in Stufen erfolgt. Bewertung gem.  § 26 (1) HOAI</t>
  </si>
  <si>
    <t>Kostenermittlung nach Vorgaben des Auftraggebers</t>
  </si>
  <si>
    <t>Kostenermittlung nach AKVS. Dabei sind die Einzelpositionen der Kostenermittlung darzustellen</t>
  </si>
  <si>
    <t xml:space="preserve">Zusammenfassendes Darstellen der Ergebnisse in Text und Karte in der </t>
  </si>
  <si>
    <t>* von der VHF abweichende Bewertung mit 3,75 % da keine Bearbeitung in Stufen erfolgt. Bewertung gem.  § 26 (1) HOAI</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</si>
  <si>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</si>
  <si>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</si>
  <si>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</si>
  <si>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</si>
  <si>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</si>
  <si>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</si>
  <si>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</si>
  <si>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</si>
  <si>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</si>
  <si>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</si>
  <si>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</si>
  <si>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</si>
  <si>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</si>
  <si>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</si>
  <si>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</si>
  <si>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</si>
  <si>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</si>
  <si>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</si>
  <si>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</si>
  <si>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</si>
  <si>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</si>
  <si>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StB-C2</t>
  </si>
  <si>
    <t>Festlegung der Grundleistungen Straßenbau mit Stufen</t>
  </si>
  <si>
    <t>Festlegung der Grundleistungen Straßenbau ohne Stufen</t>
  </si>
  <si>
    <r>
      <t xml:space="preserve">Summe der Grundleistungen über alle Leistungsphasen 
</t>
    </r>
    <r>
      <rPr>
        <b/>
        <sz val="8"/>
        <color theme="1"/>
        <rFont val="Arial"/>
        <family val="2"/>
      </rPr>
      <t xml:space="preserve">(HOAI max. 100 %) </t>
    </r>
  </si>
  <si>
    <t>Teil StB-C2</t>
  </si>
  <si>
    <t>StB Grundleistung oSt</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</si>
  <si>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</si>
  <si>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</si>
  <si>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</si>
  <si>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</si>
  <si>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</si>
  <si>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</si>
  <si>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</si>
  <si>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</si>
  <si>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</si>
  <si>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</si>
  <si>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</si>
  <si>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</si>
  <si>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</si>
  <si>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</si>
  <si>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</si>
  <si>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</si>
  <si>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</si>
  <si>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</si>
  <si>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</si>
  <si>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</si>
  <si>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</si>
  <si>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</si>
  <si>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</si>
  <si>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</si>
  <si>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</si>
  <si>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</si>
  <si>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</si>
  <si>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 xml:space="preserve">Summe 4. Weitere Besondere Leistungen </t>
  </si>
  <si>
    <t>4. Weitere Besondere Leistungen bei landschaftsplanerischen Leistungen</t>
  </si>
  <si>
    <t>1.08</t>
  </si>
  <si>
    <t>1.09</t>
  </si>
  <si>
    <t>1.10</t>
  </si>
  <si>
    <t>1.11</t>
  </si>
  <si>
    <t>1.12</t>
  </si>
  <si>
    <t xml:space="preserve">Vorabstimmungen mit Planungsbeteiligten und </t>
  </si>
  <si>
    <t>1. Leistungen zur Verfahrens- und Projektsteuerung sowie zur Qualitätssicherung</t>
  </si>
  <si>
    <t>Terminplänen</t>
  </si>
  <si>
    <t xml:space="preserve">Aufstellen und Überwachen von integrierten </t>
  </si>
  <si>
    <t xml:space="preserve">Vor- und Nachbereiten von planungsbezogenen </t>
  </si>
  <si>
    <t>Sitzungen</t>
  </si>
  <si>
    <t>Koordinieren von Planungsbeteiligten</t>
  </si>
  <si>
    <t>Moderation von Planungsverfahren</t>
  </si>
  <si>
    <t xml:space="preserve">Ausarbeiten von Leistungskatalogen für Leistungen </t>
  </si>
  <si>
    <t>Dritter</t>
  </si>
  <si>
    <t xml:space="preserve">Mitwirken bei Vergabeverfahren für Leistungen </t>
  </si>
  <si>
    <t>Dritter  
(Einholung von Angeboten, Vergabevorschläge)</t>
  </si>
  <si>
    <t xml:space="preserve">Stellungnahmen zu Einzelvorhaben während der </t>
  </si>
  <si>
    <t>Planaufstellung</t>
  </si>
  <si>
    <t>Mitwirken beim Ermitteln von Fördermöglichkeiten</t>
  </si>
  <si>
    <t>Fachbehörden 
z.B. Scoping-Termine</t>
  </si>
  <si>
    <t xml:space="preserve">Summe 1. Leistungen zur Verfahrens- und Projektsteuerung </t>
  </si>
  <si>
    <t>2. Leistungen zur Vorbereitung und inhaltlichen Ergänzung</t>
  </si>
  <si>
    <t xml:space="preserve">Summe 2. Leistungen zur Vorbereitung und inhaltlichen Ergänzung </t>
  </si>
  <si>
    <t>Erstellen digitaler Geländemodelle</t>
  </si>
  <si>
    <t>Digitalisieren von Unterlagen</t>
  </si>
  <si>
    <t>Anpassen von Datenformaten</t>
  </si>
  <si>
    <t xml:space="preserve">Erarbeiten einer einheiltichen Planungsgrundlage </t>
  </si>
  <si>
    <t>aus unterschiedlichen Unterlagen</t>
  </si>
  <si>
    <t xml:space="preserve">Erstellen von Beiplänen (Themenkarten), </t>
  </si>
  <si>
    <t>z. B. für Verkehr, Infrastruktureinrichtungen, Flurbereinigungen, Grundbesitzkarten und Gütekarten unter Berücksichtigung der Pläne anderer an der Planung fachlich Beteiligter</t>
  </si>
  <si>
    <t>Modelle</t>
  </si>
  <si>
    <t xml:space="preserve">Erstellen zusätzlicher Hilfsmittel der Darstellung </t>
  </si>
  <si>
    <t>z.B. Fotomontagen, 3D-Darstellungen, Videopräsentationen</t>
  </si>
  <si>
    <t>3. Verfahrensbegleitende Leistungen</t>
  </si>
  <si>
    <t xml:space="preserve">Summe 3. Verfahrensbegleitende Leistungen </t>
  </si>
  <si>
    <t>Vorbereiten des und Mitwirken beim Scoping</t>
  </si>
  <si>
    <t xml:space="preserve">Leistungen für die Drucklegung, Erstellen von </t>
  </si>
  <si>
    <t>Mehrausfertigungen</t>
  </si>
  <si>
    <t xml:space="preserve">Erstellen und Fortschreiben eines digitalen </t>
  </si>
  <si>
    <t>Planungsordners</t>
  </si>
  <si>
    <t xml:space="preserve">Mitwirken an der Öffentlichkeitsarbeit des </t>
  </si>
  <si>
    <t>Auftraggebers einschließlich Mitwirken an Informationsschriften und öffentlichen Diskussionen sowie Erstellen der dazu notwendigen Planungsunterlagen und Schriftsätze</t>
  </si>
  <si>
    <t xml:space="preserve">Vorbereitung und Mitwirken an Sitzungen </t>
  </si>
  <si>
    <t>politischer Gremien des Auftraggebers oder an Sitzungen im Rahmen der Öffentlichkeitsbeteiligung oder mit Dritten</t>
  </si>
  <si>
    <t>Mitwirken an Anhörungs- oder Erörterungsterminen</t>
  </si>
  <si>
    <t>Mitwirken an Arbeitsgruppen</t>
  </si>
  <si>
    <t xml:space="preserve">Entwickeln von Monitoringkonzepten und </t>
  </si>
  <si>
    <t>-maßnahmen</t>
  </si>
  <si>
    <t xml:space="preserve">Entwickeln von Risikomanagementkonzepten und </t>
  </si>
  <si>
    <t xml:space="preserve">Erstellen von Bilanzen nach fachrechtlichen </t>
  </si>
  <si>
    <t>Vorgaben und Darstellung in Text und Karte
Zur Abhandlung von waldrechtlichen Belangen</t>
  </si>
  <si>
    <t xml:space="preserve">Ermitteln von Eigentumsverhältnissen,  </t>
  </si>
  <si>
    <t>insbesondere Klären der Verfügbarkeit von geeigneten Flächen für Maßnahmen
Risikomangement</t>
  </si>
  <si>
    <t>und Stellungnahmen</t>
  </si>
  <si>
    <t xml:space="preserve">Mitwirken bei der Erarbeitung von Einwendungen </t>
  </si>
  <si>
    <t xml:space="preserve">Mitwirken an der Prüfung der Verpflichtung, </t>
  </si>
  <si>
    <t>zu einem Vorhaben oder einer Planung eine Umweltverträglichkeitsprüfung durchzuführen (Screening)</t>
  </si>
  <si>
    <t xml:space="preserve">Erstellen eines eigenständigen allgemein </t>
  </si>
  <si>
    <t>verständlichen Erläuterungsberichtes für Genehmigungsverfahren oder qualifizierende Zuarbeiten hierzu</t>
  </si>
  <si>
    <t xml:space="preserve">Örtliche Erhebungen, die nicht überwiegend </t>
  </si>
  <si>
    <t>der Kontrolle der aus den Unterlagen erhobenen Daten dienen</t>
  </si>
  <si>
    <t xml:space="preserve">Erstellen von Unterlagen im Rahmen von </t>
  </si>
  <si>
    <t>Verträglichkeitsprüfungen für Natura 2000-Gebiete</t>
  </si>
  <si>
    <t>Kartieren von Biotoptypen</t>
  </si>
  <si>
    <t>4.12</t>
  </si>
  <si>
    <t>4.13</t>
  </si>
  <si>
    <t>4.14</t>
  </si>
  <si>
    <t>Kartieren floristischer Arten</t>
  </si>
  <si>
    <t xml:space="preserve">Vertiefendes Untersuchen des Naturhaushalts, </t>
  </si>
  <si>
    <t>wie z.B. der Geologie, Hydrogeologie, Gewässergüte und -morphologie, Bodenanalysen</t>
  </si>
  <si>
    <t xml:space="preserve">Mitwirken an Genehmigungsverfahren nach </t>
  </si>
  <si>
    <t>Fachrecht</t>
  </si>
  <si>
    <t xml:space="preserve">Fortführen der mit dem Auftraggeber abgestimmten </t>
  </si>
  <si>
    <t>Fassung im Rahmen eines Genehmigungsverfahrens, Erstellen einer genehmigungsfähigen Fassung auf der Grundlage von Anregungen Dritter</t>
  </si>
  <si>
    <t xml:space="preserve">Meldung ASK-Daten (Artenschutzkartierung) an </t>
  </si>
  <si>
    <t>das Landesamt für Umwelt</t>
  </si>
  <si>
    <t xml:space="preserve">Kartieren von Biotop- und Nutzungstypen </t>
  </si>
  <si>
    <t>entsprechend der Biotopwertliste der Bayrischen Kompensationsverordnung (BayKompV) Kartierschärfe Maßstab 1:1.000</t>
  </si>
  <si>
    <t>siehe VII.05.4 Teil A</t>
  </si>
  <si>
    <t>siehe VII.05.4 Teil B</t>
  </si>
  <si>
    <t>Z7 und 8  -frei-</t>
  </si>
  <si>
    <t>siehe Teil StB-D1</t>
  </si>
  <si>
    <t>Ermitteln und Bewerten</t>
  </si>
  <si>
    <t>Vorläufige Fassung</t>
  </si>
  <si>
    <t>Abgestimmte Fassung</t>
  </si>
  <si>
    <t>Leistungsphasen 1 bis 4 (Teil E Z 4.9)</t>
  </si>
  <si>
    <t>Lph 1 bis 4 (Teil A Z 5)</t>
  </si>
  <si>
    <t>3. Verfahrensbegleitende Lstg.</t>
  </si>
  <si>
    <t>4. Weitere Besondere Lstg.</t>
  </si>
  <si>
    <t>Basishonorar Leistungsphasen 1 bis 4</t>
  </si>
  <si>
    <t xml:space="preserve">1. Lstg. zur Verfahrens- und Projektsteuerung 
</t>
  </si>
  <si>
    <t xml:space="preserve">2. Lstg. zur Vorbereitung und inhaltl. Ergänz.
</t>
  </si>
  <si>
    <t>Klären der Aufgabenstellung</t>
  </si>
  <si>
    <r>
      <t>Fläche</t>
    </r>
    <r>
      <rPr>
        <b/>
        <sz val="8"/>
        <color theme="1"/>
        <rFont val="Arial"/>
        <family val="2"/>
      </rPr>
      <t xml:space="preserve"> </t>
    </r>
    <r>
      <rPr>
        <sz val="8"/>
        <color theme="1"/>
        <rFont val="Arial"/>
        <family val="2"/>
      </rPr>
      <t>für Leistungsphasen 1 bis 4</t>
    </r>
  </si>
  <si>
    <t>stufenweise Bearbeitung des LBP</t>
  </si>
  <si>
    <t>Der LBP zur Genhmigungsplanung baut auf dem LBP zur Entwurfplanung auf. Die max. Bewertung beträgt 120%.</t>
  </si>
  <si>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</si>
  <si>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</si>
  <si>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</si>
  <si>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</si>
  <si>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Ermitteln und Bewerten der Wirkungen des Vorhabens auf die planungsrelevanten Funktionen und Strukturen des Naturhaushalts und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</si>
  <si>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</si>
  <si>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</si>
  <si>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Einarbeiten der Änderungen gem. dem Ergebnis der Abstimmung mit der für Naturschutz und Landschaftspflege zuständigen Behörde</t>
  </si>
  <si>
    <t>Einarbeiten von Prüfanmerkungen des Auftraggebers in die vorläufige Fassung</t>
  </si>
  <si>
    <t>VII.05.4-LBP</t>
  </si>
  <si>
    <t>Vertragsnr.:</t>
  </si>
  <si>
    <t>Es ist eine Person für alle Leistungsphasen fachlich verantwortlich.</t>
  </si>
  <si>
    <t>Stand: 31.01.2024</t>
  </si>
  <si>
    <t>StB-C2 Grundlstg oSt</t>
  </si>
  <si>
    <t>Die Bestandserfassung beschränkt sich auf die planungsrelevanten Funktionen und Strukturen des Naturhaushalts und Landschaftsbildes, auf die sich das Bauvorhaben auswirken wird.</t>
  </si>
  <si>
    <t>Biotoptypen (entsprechend der Biotoptypkartierung Bayern) einschließlich der Lebensraumtypen gemäß Anhang I der FFH-Richtlinie</t>
  </si>
  <si>
    <r>
      <rPr>
        <i/>
        <strike/>
        <sz val="9"/>
        <color rgb="FF0070C0"/>
        <rFont val="Arial"/>
        <family val="2"/>
      </rPr>
      <t>Durchführen einer Planungsraumanalyse zur Auswahl der planungsrelevanten Funktionen und Strukturen des Naturhaushalts und Landschaftsbildes sowie zur Bestimmung eines bzw. Abgrenzung mehrerer Bezugsräume gem. RLBP.</t>
    </r>
  </si>
  <si>
    <t>1.13.1</t>
  </si>
  <si>
    <t>psch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</si>
  <si>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</si>
  <si>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</si>
  <si>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</si>
  <si>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</si>
  <si>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</si>
  <si>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 xml:space="preserve">Mittelfränkischen Eisenbahnbetriebs GmbH  </t>
  </si>
  <si>
    <t>Reaktivierung der Bahnstrecke 5331 im Abschnitt Wilburgstetten - Dombühl für den SPNV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</si>
</sst>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0.0000000%"/>
    <numFmt numFmtId="166" formatCode="#,##0;;;@"/>
    <numFmt numFmtId="167" formatCode="#,##0.00;;;@"/>
    <numFmt numFmtId="168" formatCode="#,##0.00%;;;@"/>
    <numFmt numFmtId="169" formatCode="0.0%"/>
  </numFmts>
  <fonts count="6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i/>
      <sz val="8"/>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
      <i/>
      <strike/>
      <sz val="9"/>
      <color rgb="FF0070C0"/>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s>
  <cellStyleXfs count="7">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cellStyleXfs>
  <cellXfs count="1099">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lef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9" fillId="0" borderId="14" xfId="0" applyFont="1" applyBorder="1" applyAlignment="1" applyProtection="1">
      <alignment horizontal="lef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30" fillId="4" borderId="1" xfId="1" applyFont="1" applyFill="1" applyBorder="1" applyAlignment="1" applyProtection="1">
      <alignment vertical="top"/>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3" fontId="19" fillId="0" borderId="1" xfId="0" applyNumberFormat="1" applyFont="1"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22" fillId="0" borderId="11" xfId="1" applyFont="1" applyBorder="1" applyAlignment="1" applyProtection="1">
      <alignment horizontal="lef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7" fillId="3" borderId="2" xfId="0" applyFont="1" applyFill="1" applyBorder="1" applyAlignment="1" applyProtection="1">
      <alignment horizontal="left" vertical="center"/>
      <protection hidden="1"/>
    </xf>
    <xf numFmtId="1" fontId="25" fillId="3" borderId="3" xfId="0" applyNumberFormat="1" applyFont="1" applyFill="1" applyBorder="1" applyAlignment="1" applyProtection="1">
      <alignment vertical="center"/>
      <protection hidden="1"/>
    </xf>
    <xf numFmtId="0" fontId="0" fillId="0" borderId="0" xfId="0" applyAlignment="1" applyProtection="1">
      <alignment vertical="top" wrapText="1"/>
      <protection locked="0" hidden="1"/>
    </xf>
    <xf numFmtId="0" fontId="0" fillId="0" borderId="0" xfId="0" quotePrefix="1" applyAlignment="1" applyProtection="1">
      <alignment vertical="top"/>
      <protection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0" fontId="19" fillId="4" borderId="1" xfId="2" applyFont="1" applyFill="1" applyBorder="1" applyAlignment="1" applyProtection="1">
      <alignment vertical="top"/>
      <protection hidden="1"/>
    </xf>
    <xf numFmtId="0" fontId="30" fillId="4" borderId="1" xfId="2" applyFont="1" applyFill="1" applyBorder="1" applyAlignment="1" applyProtection="1">
      <alignment vertical="top"/>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4" xfId="2" applyFont="1" applyFill="1" applyBorder="1" applyAlignment="1" applyProtection="1">
      <alignment vertical="top"/>
      <protection hidden="1"/>
    </xf>
    <xf numFmtId="0" fontId="30" fillId="4" borderId="14" xfId="2" applyFont="1" applyFill="1" applyBorder="1" applyAlignment="1" applyProtection="1">
      <alignment vertical="top"/>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0" fontId="30" fillId="4" borderId="14" xfId="2" applyFont="1" applyFill="1" applyBorder="1" applyAlignment="1" applyProtection="1">
      <alignment vertical="center"/>
      <protection hidden="1"/>
    </xf>
    <xf numFmtId="0" fontId="22" fillId="4" borderId="1" xfId="2" applyFont="1" applyFill="1" applyBorder="1" applyAlignment="1" applyProtection="1">
      <alignment vertical="top"/>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19" fillId="0" borderId="8"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40" xfId="0" quotePrefix="1" applyNumberFormat="1" applyBorder="1" applyAlignment="1" applyProtection="1">
      <alignment vertical="top"/>
      <protection hidden="1"/>
    </xf>
    <xf numFmtId="16" fontId="0" fillId="0" borderId="41" xfId="0" quotePrefix="1" applyNumberFormat="1" applyBorder="1" applyAlignment="1" applyProtection="1">
      <alignment vertical="top"/>
      <protection hidden="1"/>
    </xf>
    <xf numFmtId="0" fontId="0" fillId="0" borderId="42" xfId="0" applyBorder="1" applyAlignment="1" applyProtection="1">
      <alignment horizontal="center" vertical="top"/>
      <protection hidden="1"/>
    </xf>
    <xf numFmtId="0" fontId="0" fillId="0" borderId="44"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0" fillId="0" borderId="23" xfId="0" applyBorder="1" applyAlignment="1" applyProtection="1">
      <alignment vertical="top"/>
      <protection hidden="1"/>
    </xf>
    <xf numFmtId="0" fontId="17" fillId="0" borderId="24" xfId="0" applyFont="1" applyBorder="1" applyAlignment="1" applyProtection="1">
      <alignment horizontal="right" vertical="center"/>
      <protection hidden="1"/>
    </xf>
    <xf numFmtId="169" fontId="0" fillId="0" borderId="3" xfId="0" applyNumberFormat="1" applyBorder="1" applyAlignment="1" applyProtection="1">
      <alignment horizontal="center" vertical="top"/>
      <protection locked="0"/>
    </xf>
    <xf numFmtId="0" fontId="17" fillId="0" borderId="6" xfId="0" quotePrefix="1" applyFont="1" applyBorder="1" applyAlignment="1" applyProtection="1">
      <alignment vertical="top"/>
      <protection hidden="1"/>
    </xf>
    <xf numFmtId="0" fontId="0" fillId="4" borderId="1" xfId="0" applyFill="1" applyBorder="1" applyAlignment="1">
      <alignment vertical="top"/>
    </xf>
    <xf numFmtId="0" fontId="5" fillId="0" borderId="12" xfId="0" quotePrefix="1" applyFont="1" applyBorder="1" applyAlignment="1" applyProtection="1">
      <alignment horizontal="right" vertical="top"/>
      <protection hidden="1"/>
    </xf>
    <xf numFmtId="16" fontId="5" fillId="0" borderId="43" xfId="0" quotePrefix="1" applyNumberFormat="1" applyFont="1" applyBorder="1" applyAlignment="1" applyProtection="1">
      <alignment horizontal="right" vertical="top"/>
      <protection hidden="1"/>
    </xf>
    <xf numFmtId="0" fontId="5" fillId="0" borderId="43" xfId="0" quotePrefix="1" applyFont="1" applyBorder="1" applyAlignment="1" applyProtection="1">
      <alignment horizontal="right" vertical="top"/>
      <protection hidden="1"/>
    </xf>
    <xf numFmtId="0" fontId="0" fillId="0" borderId="41" xfId="0" applyBorder="1" applyAlignment="1" applyProtection="1">
      <alignment vertical="top"/>
      <protection hidden="1"/>
    </xf>
    <xf numFmtId="0" fontId="0" fillId="0" borderId="42" xfId="0" applyBorder="1" applyAlignment="1" applyProtection="1">
      <alignment vertical="top"/>
      <protection hidden="1"/>
    </xf>
    <xf numFmtId="0" fontId="5" fillId="0" borderId="7" xfId="0" applyFont="1" applyBorder="1" applyAlignment="1" applyProtection="1">
      <alignment horizontal="right" vertical="top"/>
      <protection hidden="1"/>
    </xf>
    <xf numFmtId="16" fontId="7" fillId="0" borderId="22" xfId="0" quotePrefix="1" applyNumberFormat="1" applyFont="1" applyBorder="1" applyAlignment="1" applyProtection="1">
      <alignment horizontal="left" vertical="center"/>
      <protection hidden="1"/>
    </xf>
    <xf numFmtId="0" fontId="7" fillId="0" borderId="23" xfId="0" applyFont="1" applyBorder="1" applyAlignment="1" applyProtection="1">
      <alignment vertical="center"/>
      <protection hidden="1"/>
    </xf>
    <xf numFmtId="0" fontId="0" fillId="0" borderId="24" xfId="0" applyBorder="1" applyAlignment="1" applyProtection="1">
      <alignment vertical="center"/>
      <protection hidden="1"/>
    </xf>
    <xf numFmtId="0" fontId="5" fillId="0" borderId="40" xfId="0" applyFont="1" applyBorder="1" applyAlignment="1" applyProtection="1">
      <alignment vertical="top"/>
      <protection hidden="1"/>
    </xf>
    <xf numFmtId="0" fontId="5" fillId="0" borderId="42" xfId="0" applyFont="1" applyBorder="1" applyAlignment="1" applyProtection="1">
      <alignment horizontal="right" vertical="top"/>
      <protection hidden="1"/>
    </xf>
    <xf numFmtId="0" fontId="9" fillId="0" borderId="43" xfId="0" applyFont="1" applyBorder="1" applyAlignment="1" applyProtection="1">
      <alignment vertical="top"/>
      <protection hidden="1"/>
    </xf>
    <xf numFmtId="0" fontId="5" fillId="0" borderId="43" xfId="0" applyFont="1" applyBorder="1" applyAlignment="1" applyProtection="1">
      <alignment vertical="top"/>
      <protection hidden="1"/>
    </xf>
    <xf numFmtId="167" fontId="0" fillId="0" borderId="43" xfId="0" applyNumberFormat="1" applyBorder="1" applyAlignment="1" applyProtection="1">
      <alignment horizontal="right" vertical="top"/>
      <protection hidden="1"/>
    </xf>
    <xf numFmtId="167" fontId="7" fillId="0" borderId="43" xfId="0" applyNumberFormat="1" applyFont="1" applyBorder="1" applyAlignment="1" applyProtection="1">
      <alignment horizontal="right" vertical="top"/>
      <protection hidden="1"/>
    </xf>
    <xf numFmtId="0" fontId="5" fillId="0" borderId="39" xfId="0" applyFont="1" applyBorder="1" applyAlignment="1" applyProtection="1">
      <alignment vertical="top"/>
      <protection hidden="1"/>
    </xf>
    <xf numFmtId="167" fontId="0" fillId="0" borderId="39" xfId="0" applyNumberFormat="1" applyBorder="1" applyAlignment="1" applyProtection="1">
      <alignment horizontal="right" vertical="top"/>
      <protection hidden="1"/>
    </xf>
    <xf numFmtId="0" fontId="0" fillId="0" borderId="6" xfId="0" applyBorder="1"/>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19" fillId="0" borderId="2" xfId="2" applyFont="1" applyBorder="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2" xfId="0" applyFont="1" applyBorder="1" applyAlignment="1" applyProtection="1">
      <alignment horizontal="left" vertical="center"/>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31" fillId="0" borderId="0" xfId="0" applyFont="1" applyAlignment="1" applyProtection="1">
      <alignment vertical="top"/>
      <protection locked="0" hidden="1"/>
    </xf>
    <xf numFmtId="0" fontId="7" fillId="0" borderId="23"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7" fillId="4" borderId="47" xfId="0" applyFont="1" applyFill="1" applyBorder="1" applyAlignment="1" applyProtection="1">
      <alignment horizontal="left" vertical="center"/>
      <protection locked="0"/>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4" xfId="0" applyFont="1" applyBorder="1" applyAlignment="1" applyProtection="1">
      <alignment horizontal="right" vertical="center"/>
      <protection hidden="1"/>
    </xf>
    <xf numFmtId="0" fontId="7" fillId="0" borderId="22" xfId="0" applyFont="1" applyBorder="1" applyAlignment="1" applyProtection="1">
      <alignment vertical="center"/>
      <protection hidden="1"/>
    </xf>
    <xf numFmtId="0" fontId="7" fillId="0" borderId="44" xfId="0" applyFont="1" applyBorder="1" applyAlignment="1">
      <alignment horizontal="left" vertical="center"/>
    </xf>
    <xf numFmtId="0" fontId="7" fillId="0" borderId="6" xfId="0" applyFont="1" applyBorder="1" applyAlignment="1" applyProtection="1">
      <alignment vertical="center"/>
      <protection hidden="1"/>
    </xf>
    <xf numFmtId="0" fontId="0" fillId="0" borderId="23" xfId="0" applyBorder="1" applyAlignment="1" applyProtection="1">
      <alignment horizontal="left" vertical="center"/>
      <protection hidden="1"/>
    </xf>
    <xf numFmtId="0" fontId="7" fillId="0" borderId="24" xfId="0" applyFont="1" applyBorder="1" applyAlignment="1">
      <alignment horizontal="left" vertical="center"/>
    </xf>
    <xf numFmtId="0" fontId="7" fillId="4" borderId="24" xfId="0" applyFont="1" applyFill="1" applyBorder="1" applyAlignment="1" applyProtection="1">
      <alignment horizontal="left" vertical="center"/>
      <protection locked="0"/>
    </xf>
    <xf numFmtId="0" fontId="6" fillId="0" borderId="6" xfId="0" applyFont="1" applyBorder="1" applyAlignment="1" applyProtection="1">
      <alignment vertical="center" wrapText="1"/>
      <protection hidden="1"/>
    </xf>
    <xf numFmtId="0" fontId="7" fillId="0" borderId="21"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20"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4" fontId="0" fillId="0" borderId="4" xfId="0" applyNumberForma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3"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1" xfId="0" applyFont="1" applyBorder="1" applyAlignment="1" applyProtection="1">
      <alignment vertical="center"/>
      <protection hidden="1"/>
    </xf>
    <xf numFmtId="0" fontId="7" fillId="0" borderId="44" xfId="0" applyFont="1" applyBorder="1" applyAlignment="1" applyProtection="1">
      <alignment vertical="center"/>
      <protection hidden="1"/>
    </xf>
    <xf numFmtId="0" fontId="7" fillId="0" borderId="24" xfId="0" applyFont="1" applyBorder="1" applyAlignment="1" applyProtection="1">
      <alignment vertical="center"/>
      <protection hidden="1"/>
    </xf>
    <xf numFmtId="0" fontId="6" fillId="0" borderId="21" xfId="0" applyFont="1" applyBorder="1" applyAlignment="1" applyProtection="1">
      <alignment vertical="center" wrapText="1"/>
      <protection hidden="1"/>
    </xf>
    <xf numFmtId="0" fontId="0" fillId="0" borderId="23"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9" xfId="2" applyFont="1" applyBorder="1" applyAlignment="1" applyProtection="1">
      <alignment vertical="top" wrapText="1"/>
      <protection hidden="1"/>
    </xf>
    <xf numFmtId="4" fontId="0" fillId="0" borderId="53" xfId="2" applyNumberFormat="1" applyFont="1" applyBorder="1" applyAlignment="1" applyProtection="1">
      <alignment horizontal="center" vertical="top"/>
      <protection hidden="1"/>
    </xf>
    <xf numFmtId="4" fontId="0" fillId="3" borderId="47" xfId="2" applyNumberFormat="1" applyFont="1" applyFill="1" applyBorder="1" applyAlignment="1" applyProtection="1">
      <alignment horizontal="center" vertical="top"/>
      <protection hidden="1"/>
    </xf>
    <xf numFmtId="0" fontId="19" fillId="0" borderId="46" xfId="2" applyFont="1" applyBorder="1" applyAlignment="1" applyProtection="1">
      <alignment horizontal="center" vertical="top"/>
      <protection hidden="1"/>
    </xf>
    <xf numFmtId="0" fontId="19" fillId="0" borderId="46"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34" fillId="0" borderId="46" xfId="1" quotePrefix="1" applyFont="1" applyBorder="1" applyAlignment="1" applyProtection="1">
      <alignment horizontal="center" vertical="top"/>
      <protection hidden="1"/>
    </xf>
    <xf numFmtId="0" fontId="10" fillId="0" borderId="46" xfId="2" applyFont="1" applyBorder="1" applyAlignment="1" applyProtection="1">
      <alignment horizontal="right" vertical="center"/>
      <protection hidden="1"/>
    </xf>
    <xf numFmtId="4" fontId="7" fillId="0" borderId="53" xfId="0" applyNumberFormat="1" applyFont="1" applyBorder="1" applyAlignment="1" applyProtection="1">
      <alignment horizontal="right" vertical="center"/>
      <protection hidden="1"/>
    </xf>
    <xf numFmtId="0" fontId="5" fillId="0" borderId="49" xfId="2" applyFont="1" applyBorder="1" applyAlignment="1" applyProtection="1">
      <alignment vertical="top"/>
      <protection hidden="1"/>
    </xf>
    <xf numFmtId="0" fontId="20" fillId="4" borderId="46" xfId="1" applyFont="1" applyFill="1" applyBorder="1" applyAlignment="1" applyProtection="1">
      <alignment vertical="top" wrapText="1"/>
      <protection locked="0"/>
    </xf>
    <xf numFmtId="3" fontId="0" fillId="4" borderId="48" xfId="2" applyNumberFormat="1" applyFont="1" applyFill="1" applyBorder="1" applyAlignment="1" applyProtection="1">
      <alignment horizontal="center" vertical="top"/>
      <protection locked="0"/>
    </xf>
    <xf numFmtId="4" fontId="0" fillId="3" borderId="47" xfId="0" applyNumberFormat="1" applyFill="1" applyBorder="1" applyAlignment="1" applyProtection="1">
      <alignment horizontal="right" vertical="top"/>
      <protection hidden="1"/>
    </xf>
    <xf numFmtId="0" fontId="34" fillId="0" borderId="0" xfId="1" quotePrefix="1" applyFont="1" applyAlignment="1" applyProtection="1">
      <alignment horizontal="center" vertical="top"/>
      <protection hidden="1"/>
    </xf>
    <xf numFmtId="0" fontId="20" fillId="3" borderId="0" xfId="1" applyFont="1" applyFill="1" applyAlignment="1" applyProtection="1">
      <alignment vertical="top" wrapText="1"/>
      <protection hidden="1"/>
    </xf>
    <xf numFmtId="0" fontId="10" fillId="0" borderId="0" xfId="2" applyFont="1" applyAlignment="1" applyProtection="1">
      <alignment vertical="center"/>
      <protection hidden="1"/>
    </xf>
    <xf numFmtId="0" fontId="10" fillId="0" borderId="0" xfId="2" applyFont="1" applyAlignment="1" applyProtection="1">
      <alignment horizontal="right" vertical="center"/>
      <protection hidden="1"/>
    </xf>
    <xf numFmtId="167" fontId="7" fillId="0" borderId="39" xfId="0" applyNumberFormat="1" applyFont="1" applyBorder="1" applyAlignment="1" applyProtection="1">
      <alignment horizontal="right" vertical="top"/>
      <protection hidden="1"/>
    </xf>
    <xf numFmtId="167" fontId="0" fillId="0" borderId="14" xfId="0" applyNumberFormat="1" applyBorder="1" applyAlignment="1">
      <alignment vertical="center"/>
    </xf>
    <xf numFmtId="0" fontId="5" fillId="0" borderId="40" xfId="0" applyFont="1" applyBorder="1" applyAlignment="1">
      <alignment vertical="center"/>
    </xf>
    <xf numFmtId="0" fontId="0" fillId="0" borderId="42" xfId="0" applyBorder="1"/>
    <xf numFmtId="168" fontId="7" fillId="4" borderId="43" xfId="0" applyNumberFormat="1" applyFont="1" applyFill="1" applyBorder="1" applyAlignment="1" applyProtection="1">
      <alignment horizontal="center" vertical="center"/>
      <protection locked="0"/>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8"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3" xfId="0" applyFont="1" applyBorder="1" applyAlignment="1" applyProtection="1">
      <alignment vertical="center" wrapText="1"/>
      <protection hidden="1"/>
    </xf>
    <xf numFmtId="0" fontId="7" fillId="0" borderId="24" xfId="0" applyFont="1" applyBorder="1" applyAlignment="1" applyProtection="1">
      <alignment horizontal="left" vertical="center"/>
      <protection hidden="1"/>
    </xf>
    <xf numFmtId="0" fontId="9" fillId="0" borderId="45" xfId="0" applyFont="1" applyBorder="1" applyAlignment="1" applyProtection="1">
      <alignment horizontal="left" vertical="top"/>
      <protection hidden="1"/>
    </xf>
    <xf numFmtId="0" fontId="0" fillId="0" borderId="41" xfId="0" applyBorder="1" applyAlignment="1" applyProtection="1">
      <alignment horizontal="left" vertical="top"/>
      <protection hidden="1"/>
    </xf>
    <xf numFmtId="0" fontId="0" fillId="0" borderId="49"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0" fontId="0" fillId="4" borderId="39" xfId="0" applyFill="1" applyBorder="1" applyAlignment="1" applyProtection="1">
      <alignment vertical="top"/>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0" fillId="0" borderId="55" xfId="0" applyBorder="1" applyAlignment="1" applyProtection="1">
      <alignment vertical="top"/>
      <protection hidden="1"/>
    </xf>
    <xf numFmtId="0" fontId="5" fillId="0" borderId="56" xfId="0" applyFont="1" applyBorder="1" applyAlignment="1" applyProtection="1">
      <alignment horizontal="center" vertical="center"/>
      <protection hidden="1"/>
    </xf>
    <xf numFmtId="0" fontId="0" fillId="0" borderId="35" xfId="0" applyBorder="1" applyAlignment="1" applyProtection="1">
      <alignment vertical="top"/>
      <protection hidden="1"/>
    </xf>
    <xf numFmtId="0" fontId="0" fillId="0" borderId="56"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9"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9"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20" xfId="0" applyFont="1" applyFill="1" applyBorder="1" applyAlignment="1" applyProtection="1">
      <alignment horizontal="left" vertical="center"/>
      <protection hidden="1"/>
    </xf>
    <xf numFmtId="0" fontId="7" fillId="3" borderId="21" xfId="0" applyFont="1" applyFill="1" applyBorder="1" applyAlignment="1" applyProtection="1">
      <alignment horizontal="center" vertical="center" wrapText="1"/>
      <protection hidden="1"/>
    </xf>
    <xf numFmtId="0" fontId="0" fillId="3" borderId="64"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6" xfId="0" applyNumberFormat="1" applyFont="1" applyFill="1" applyBorder="1" applyAlignment="1" applyProtection="1">
      <alignment horizontal="center" vertical="top"/>
      <protection hidden="1"/>
    </xf>
    <xf numFmtId="16" fontId="42" fillId="0" borderId="41" xfId="0" quotePrefix="1" applyNumberFormat="1" applyFont="1" applyBorder="1" applyAlignment="1" applyProtection="1">
      <alignment vertical="center"/>
      <protection hidden="1"/>
    </xf>
    <xf numFmtId="166" fontId="7" fillId="0" borderId="41" xfId="0" applyNumberFormat="1" applyFont="1" applyBorder="1" applyAlignment="1" applyProtection="1">
      <alignment vertical="center" wrapText="1"/>
      <protection hidden="1"/>
    </xf>
    <xf numFmtId="0" fontId="7" fillId="0" borderId="41" xfId="0" applyFont="1" applyBorder="1" applyAlignment="1" applyProtection="1">
      <alignment horizontal="center" vertical="center" wrapText="1"/>
      <protection hidden="1"/>
    </xf>
    <xf numFmtId="1" fontId="9" fillId="0" borderId="63" xfId="0" applyNumberFormat="1" applyFont="1" applyBorder="1" applyAlignment="1" applyProtection="1">
      <alignment horizontal="center" vertical="center" wrapText="1"/>
      <protection hidden="1"/>
    </xf>
    <xf numFmtId="0" fontId="0" fillId="0" borderId="63"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7"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1"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8" fillId="0" borderId="0" xfId="1" applyFont="1" applyProtection="1">
      <protection hidden="1"/>
    </xf>
    <xf numFmtId="0" fontId="48"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7" fillId="3" borderId="19"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40"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6" xfId="0" applyNumberFormat="1" applyFont="1" applyFill="1" applyBorder="1" applyAlignment="1" applyProtection="1">
      <alignment horizontal="center" vertical="top"/>
      <protection hidden="1"/>
    </xf>
    <xf numFmtId="0" fontId="9" fillId="9" borderId="36"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62" xfId="2" applyFont="1" applyFill="1" applyBorder="1" applyAlignment="1" applyProtection="1">
      <alignment horizontal="right" vertical="center"/>
      <protection hidden="1"/>
    </xf>
    <xf numFmtId="0" fontId="0" fillId="0" borderId="67"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40" xfId="0" applyFont="1" applyBorder="1" applyAlignment="1" applyProtection="1">
      <alignment vertical="top"/>
      <protection hidden="1"/>
    </xf>
    <xf numFmtId="0" fontId="7" fillId="0" borderId="41" xfId="0" applyFont="1" applyBorder="1" applyAlignment="1" applyProtection="1">
      <alignment horizontal="left" vertical="top"/>
      <protection hidden="1"/>
    </xf>
    <xf numFmtId="0" fontId="5" fillId="0" borderId="41" xfId="0" applyFont="1" applyBorder="1" applyAlignment="1" applyProtection="1">
      <alignment horizontal="left" vertical="center"/>
      <protection hidden="1"/>
    </xf>
    <xf numFmtId="0" fontId="5" fillId="0" borderId="42" xfId="0" applyFont="1" applyBorder="1" applyAlignment="1" applyProtection="1">
      <alignment horizontal="right" vertical="center"/>
      <protection hidden="1"/>
    </xf>
    <xf numFmtId="0" fontId="7" fillId="0" borderId="49" xfId="0" applyFont="1" applyBorder="1" applyAlignment="1" applyProtection="1">
      <alignment vertical="top"/>
      <protection hidden="1"/>
    </xf>
    <xf numFmtId="0" fontId="7" fillId="0" borderId="54" xfId="0" applyFont="1" applyBorder="1" applyAlignment="1" applyProtection="1">
      <alignment horizontal="left" vertical="top"/>
      <protection hidden="1"/>
    </xf>
    <xf numFmtId="0" fontId="0" fillId="0" borderId="49"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9"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20"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4"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3" xfId="0" applyFont="1" applyBorder="1" applyAlignment="1" applyProtection="1">
      <alignment vertical="top"/>
      <protection hidden="1"/>
    </xf>
    <xf numFmtId="0" fontId="7" fillId="0" borderId="23" xfId="0" applyFont="1" applyBorder="1" applyAlignment="1" applyProtection="1">
      <alignment vertical="top" wrapText="1"/>
      <protection hidden="1"/>
    </xf>
    <xf numFmtId="0" fontId="5" fillId="0" borderId="23" xfId="0" applyFont="1" applyBorder="1" applyAlignment="1" applyProtection="1">
      <alignment vertical="top" wrapText="1"/>
      <protection hidden="1"/>
    </xf>
    <xf numFmtId="0" fontId="5" fillId="0" borderId="23" xfId="0" applyFont="1" applyBorder="1" applyAlignment="1" applyProtection="1">
      <alignment horizontal="right" vertical="center" wrapText="1"/>
      <protection hidden="1"/>
    </xf>
    <xf numFmtId="16" fontId="5" fillId="0" borderId="41" xfId="0" quotePrefix="1" applyNumberFormat="1" applyFont="1" applyBorder="1" applyAlignment="1" applyProtection="1">
      <alignment vertical="top"/>
      <protection hidden="1"/>
    </xf>
    <xf numFmtId="16" fontId="5" fillId="0" borderId="42"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1" xfId="0" applyNumberFormat="1" applyFont="1" applyBorder="1" applyAlignment="1" applyProtection="1">
      <alignment vertical="top"/>
      <protection hidden="1"/>
    </xf>
    <xf numFmtId="0" fontId="0" fillId="0" borderId="49"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4" fontId="38" fillId="3" borderId="16" xfId="0" applyNumberFormat="1" applyFont="1" applyFill="1" applyBorder="1" applyAlignment="1">
      <alignment vertical="center"/>
    </xf>
    <xf numFmtId="0" fontId="46" fillId="0" borderId="34" xfId="1" quotePrefix="1" applyFont="1" applyBorder="1" applyAlignment="1" applyProtection="1">
      <alignment horizontal="center" vertical="top"/>
      <protection hidden="1"/>
    </xf>
    <xf numFmtId="0" fontId="46" fillId="0" borderId="57" xfId="1" quotePrefix="1" applyFont="1" applyBorder="1" applyAlignment="1" applyProtection="1">
      <alignment horizontal="center" vertical="top"/>
      <protection hidden="1"/>
    </xf>
    <xf numFmtId="167" fontId="0" fillId="0" borderId="43" xfId="0" quotePrefix="1" applyNumberFormat="1" applyBorder="1" applyAlignment="1" applyProtection="1">
      <alignment horizontal="right" vertical="top"/>
      <protection hidden="1"/>
    </xf>
    <xf numFmtId="167" fontId="0" fillId="0" borderId="39" xfId="0" quotePrefix="1" applyNumberFormat="1" applyBorder="1" applyAlignment="1" applyProtection="1">
      <alignment horizontal="right" vertical="top"/>
      <protection hidden="1"/>
    </xf>
    <xf numFmtId="0" fontId="9" fillId="0" borderId="11" xfId="0" applyFont="1" applyBorder="1" applyAlignment="1" applyProtection="1">
      <alignment horizontal="center" vertical="top" wrapText="1"/>
      <protection hidden="1"/>
    </xf>
    <xf numFmtId="4" fontId="0" fillId="5" borderId="33" xfId="2" applyNumberFormat="1" applyFont="1" applyFill="1" applyBorder="1" applyAlignment="1" applyProtection="1">
      <alignment horizontal="right" vertical="top"/>
      <protection locked="0"/>
    </xf>
    <xf numFmtId="0" fontId="9" fillId="0" borderId="68" xfId="2" applyFont="1" applyBorder="1" applyAlignment="1" applyProtection="1">
      <alignment horizontal="right" vertical="center"/>
      <protection hidden="1"/>
    </xf>
    <xf numFmtId="4" fontId="0" fillId="5" borderId="50" xfId="2" applyNumberFormat="1" applyFont="1" applyFill="1" applyBorder="1" applyAlignment="1" applyProtection="1">
      <alignment horizontal="right" vertical="top"/>
      <protection locked="0"/>
    </xf>
    <xf numFmtId="0" fontId="10" fillId="0" borderId="57" xfId="2" applyFont="1" applyBorder="1" applyAlignment="1" applyProtection="1">
      <alignment vertical="center"/>
      <protection hidden="1"/>
    </xf>
    <xf numFmtId="3" fontId="0" fillId="4" borderId="48" xfId="2" applyNumberFormat="1" applyFont="1" applyFill="1" applyBorder="1" applyAlignment="1" applyProtection="1">
      <alignment horizontal="right" vertical="top"/>
      <protection locked="0"/>
    </xf>
    <xf numFmtId="0" fontId="10" fillId="0" borderId="68" xfId="2" applyFont="1" applyBorder="1" applyAlignment="1" applyProtection="1">
      <alignment vertical="center"/>
      <protection hidden="1"/>
    </xf>
    <xf numFmtId="3" fontId="0" fillId="4" borderId="50" xfId="2" applyNumberFormat="1" applyFont="1" applyFill="1" applyBorder="1" applyAlignment="1" applyProtection="1">
      <alignment horizontal="center" vertical="top"/>
      <protection locked="0"/>
    </xf>
    <xf numFmtId="0" fontId="9" fillId="0" borderId="36" xfId="2" applyFont="1" applyBorder="1" applyAlignment="1" applyProtection="1">
      <alignment horizontal="right" vertical="center"/>
      <protection hidden="1"/>
    </xf>
    <xf numFmtId="0" fontId="10" fillId="0" borderId="36" xfId="2" applyFont="1" applyBorder="1" applyAlignment="1" applyProtection="1">
      <alignment vertical="center"/>
      <protection hidden="1"/>
    </xf>
    <xf numFmtId="0" fontId="5" fillId="0" borderId="12" xfId="0" applyFont="1" applyBorder="1" applyAlignment="1" applyProtection="1">
      <alignment vertical="top"/>
      <protection hidden="1"/>
    </xf>
    <xf numFmtId="4" fontId="7" fillId="0" borderId="13" xfId="0" applyNumberFormat="1" applyFont="1" applyBorder="1" applyAlignment="1" applyProtection="1">
      <alignment horizontal="right" vertical="center"/>
      <protection hidden="1"/>
    </xf>
    <xf numFmtId="0" fontId="0" fillId="0" borderId="65"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6"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3" xfId="2" applyNumberFormat="1" applyFont="1" applyFill="1" applyBorder="1" applyAlignment="1" applyProtection="1">
      <alignment horizontal="center" vertical="top"/>
      <protection hidden="1"/>
    </xf>
    <xf numFmtId="2" fontId="0" fillId="0" borderId="36" xfId="2" applyNumberFormat="1" applyFont="1" applyBorder="1" applyAlignment="1" applyProtection="1">
      <alignment horizontal="center" vertical="top"/>
      <protection hidden="1"/>
    </xf>
    <xf numFmtId="2" fontId="0" fillId="3" borderId="50" xfId="2" applyNumberFormat="1" applyFont="1" applyFill="1" applyBorder="1" applyAlignment="1" applyProtection="1">
      <alignment horizontal="center" vertical="top"/>
      <protection hidden="1"/>
    </xf>
    <xf numFmtId="2" fontId="0" fillId="0" borderId="36" xfId="2" applyNumberFormat="1" applyFont="1" applyBorder="1" applyAlignment="1" applyProtection="1">
      <alignment horizontal="center" vertical="top" wrapText="1"/>
      <protection hidden="1"/>
    </xf>
    <xf numFmtId="2" fontId="0" fillId="0" borderId="68" xfId="2" applyNumberFormat="1" applyFont="1" applyBorder="1" applyAlignment="1" applyProtection="1">
      <alignment horizontal="center" vertical="top" wrapText="1"/>
      <protection hidden="1"/>
    </xf>
    <xf numFmtId="0" fontId="43" fillId="0" borderId="34" xfId="2" applyFont="1" applyBorder="1" applyAlignment="1" applyProtection="1">
      <alignment vertical="top" wrapText="1"/>
      <protection hidden="1"/>
    </xf>
    <xf numFmtId="0" fontId="43" fillId="0" borderId="34" xfId="2" applyFont="1" applyBorder="1" applyAlignment="1" applyProtection="1">
      <alignment vertical="top"/>
      <protection hidden="1"/>
    </xf>
    <xf numFmtId="0" fontId="43" fillId="0" borderId="57" xfId="2" applyFont="1" applyBorder="1" applyAlignment="1" applyProtection="1">
      <alignment vertical="top"/>
      <protection hidden="1"/>
    </xf>
    <xf numFmtId="0" fontId="44" fillId="0" borderId="34" xfId="2" quotePrefix="1" applyFont="1" applyBorder="1" applyAlignment="1" applyProtection="1">
      <alignment vertical="top" wrapText="1"/>
      <protection hidden="1"/>
    </xf>
    <xf numFmtId="0" fontId="44" fillId="0" borderId="34" xfId="2" applyFont="1" applyBorder="1" applyAlignment="1" applyProtection="1">
      <alignment vertical="top" wrapText="1"/>
      <protection hidden="1"/>
    </xf>
    <xf numFmtId="2" fontId="0" fillId="0" borderId="36" xfId="2" applyNumberFormat="1" applyFont="1" applyBorder="1" applyAlignment="1" applyProtection="1">
      <alignment vertical="top" wrapText="1"/>
      <protection hidden="1"/>
    </xf>
    <xf numFmtId="2" fontId="0" fillId="3" borderId="36" xfId="2" applyNumberFormat="1" applyFont="1" applyFill="1" applyBorder="1" applyAlignment="1" applyProtection="1">
      <alignment horizontal="center" vertical="top"/>
      <protection hidden="1"/>
    </xf>
    <xf numFmtId="0" fontId="22" fillId="0" borderId="34" xfId="2" applyFont="1" applyBorder="1" applyAlignment="1" applyProtection="1">
      <alignment vertical="top" wrapText="1"/>
      <protection hidden="1"/>
    </xf>
    <xf numFmtId="2" fontId="0" fillId="0" borderId="36"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1"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1"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9" xfId="0" applyFont="1" applyBorder="1" applyAlignment="1" applyProtection="1">
      <alignment horizontal="left" vertical="top"/>
      <protection hidden="1"/>
    </xf>
    <xf numFmtId="0" fontId="9" fillId="0" borderId="44" xfId="0" applyFont="1" applyBorder="1" applyAlignment="1" applyProtection="1">
      <alignment vertical="top"/>
      <protection hidden="1"/>
    </xf>
    <xf numFmtId="4" fontId="0" fillId="0" borderId="43" xfId="0" applyNumberFormat="1" applyBorder="1" applyAlignment="1">
      <alignment vertical="center"/>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20" xfId="0" applyFill="1" applyBorder="1" applyAlignment="1" applyProtection="1">
      <alignment vertical="center"/>
      <protection hidden="1"/>
    </xf>
    <xf numFmtId="0" fontId="0" fillId="3" borderId="21"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38" fillId="0" borderId="9" xfId="0" applyFont="1" applyBorder="1"/>
    <xf numFmtId="0" fontId="38" fillId="0" borderId="10" xfId="0" applyFont="1" applyBorder="1"/>
    <xf numFmtId="1" fontId="25" fillId="3" borderId="6" xfId="0" applyNumberFormat="1" applyFont="1" applyFill="1" applyBorder="1" applyAlignment="1" applyProtection="1">
      <alignment vertical="center"/>
      <protection hidden="1"/>
    </xf>
    <xf numFmtId="0" fontId="9" fillId="3" borderId="11" xfId="0" applyFont="1" applyFill="1" applyBorder="1" applyAlignment="1" applyProtection="1">
      <alignment vertical="center" wrapText="1"/>
      <protection hidden="1"/>
    </xf>
    <xf numFmtId="0" fontId="9" fillId="3" borderId="1" xfId="0" applyFont="1" applyFill="1" applyBorder="1" applyAlignment="1" applyProtection="1">
      <alignment vertical="top" wrapText="1"/>
      <protection hidden="1"/>
    </xf>
    <xf numFmtId="0" fontId="9" fillId="3" borderId="1" xfId="0" applyFont="1" applyFill="1" applyBorder="1" applyAlignment="1" applyProtection="1">
      <alignment horizontal="center" vertical="top" wrapText="1"/>
      <protection hidden="1"/>
    </xf>
    <xf numFmtId="0" fontId="9" fillId="3" borderId="5" xfId="0" applyFont="1" applyFill="1" applyBorder="1" applyAlignment="1" applyProtection="1">
      <alignment vertical="center" wrapText="1"/>
      <protection hidden="1"/>
    </xf>
    <xf numFmtId="0" fontId="9" fillId="3" borderId="10" xfId="0" applyFont="1" applyFill="1" applyBorder="1" applyAlignment="1" applyProtection="1">
      <alignment horizontal="center" vertical="top" wrapText="1"/>
      <protection hidden="1"/>
    </xf>
    <xf numFmtId="0" fontId="9" fillId="3" borderId="8" xfId="0" applyFont="1" applyFill="1" applyBorder="1" applyAlignment="1" applyProtection="1">
      <alignment vertical="top"/>
      <protection hidden="1"/>
    </xf>
    <xf numFmtId="0" fontId="9" fillId="3" borderId="9" xfId="0" applyFont="1" applyFill="1" applyBorder="1" applyAlignment="1" applyProtection="1">
      <alignment horizontal="center" vertical="top" wrapText="1"/>
      <protection hidden="1"/>
    </xf>
    <xf numFmtId="0" fontId="7" fillId="3" borderId="0" xfId="0" applyFont="1" applyFill="1" applyAlignment="1" applyProtection="1">
      <alignment vertical="center"/>
      <protection hidden="1"/>
    </xf>
    <xf numFmtId="0" fontId="9" fillId="3" borderId="0" xfId="0" applyFont="1" applyFill="1" applyAlignment="1" applyProtection="1">
      <alignment vertical="center"/>
      <protection hidden="1"/>
    </xf>
    <xf numFmtId="2" fontId="7" fillId="3" borderId="62" xfId="0" applyNumberFormat="1" applyFont="1" applyFill="1" applyBorder="1" applyAlignment="1" applyProtection="1">
      <alignment horizontal="center" vertical="center"/>
      <protection hidden="1"/>
    </xf>
    <xf numFmtId="167" fontId="38" fillId="3" borderId="16" xfId="0" applyNumberFormat="1" applyFont="1" applyFill="1" applyBorder="1" applyAlignment="1" applyProtection="1">
      <alignment horizontal="right" vertical="center"/>
      <protection hidden="1"/>
    </xf>
    <xf numFmtId="167" fontId="7" fillId="8" borderId="16" xfId="0" applyNumberFormat="1" applyFont="1" applyFill="1" applyBorder="1" applyAlignment="1" applyProtection="1">
      <alignment horizontal="right" vertical="center"/>
      <protection hidden="1"/>
    </xf>
    <xf numFmtId="10" fontId="7" fillId="3" borderId="0" xfId="0" applyNumberFormat="1" applyFont="1" applyFill="1" applyAlignment="1" applyProtection="1">
      <alignment vertical="center"/>
      <protection hidden="1"/>
    </xf>
    <xf numFmtId="168" fontId="7" fillId="3" borderId="0" xfId="0" applyNumberFormat="1" applyFont="1" applyFill="1" applyAlignment="1" applyProtection="1">
      <alignment horizontal="right" vertical="center"/>
      <protection hidden="1"/>
    </xf>
    <xf numFmtId="167" fontId="0" fillId="3" borderId="62" xfId="0" applyNumberFormat="1" applyFill="1" applyBorder="1" applyAlignment="1" applyProtection="1">
      <alignment horizontal="right" vertical="center"/>
      <protection hidden="1"/>
    </xf>
    <xf numFmtId="167" fontId="0" fillId="4" borderId="45" xfId="0" applyNumberFormat="1" applyFill="1" applyBorder="1" applyAlignment="1" applyProtection="1">
      <alignment horizontal="right" vertical="center"/>
      <protection locked="0"/>
    </xf>
    <xf numFmtId="168" fontId="0" fillId="4" borderId="45" xfId="0" applyNumberFormat="1" applyFill="1" applyBorder="1" applyAlignment="1" applyProtection="1">
      <alignment horizontal="center" vertical="center"/>
      <protection locked="0"/>
    </xf>
    <xf numFmtId="167" fontId="7" fillId="0" borderId="45" xfId="0" applyNumberFormat="1" applyFont="1" applyBorder="1" applyAlignment="1" applyProtection="1">
      <alignment horizontal="right" vertical="center"/>
      <protection hidden="1"/>
    </xf>
    <xf numFmtId="167" fontId="0" fillId="4" borderId="43" xfId="0" applyNumberFormat="1" applyFill="1" applyBorder="1" applyAlignment="1" applyProtection="1">
      <alignment horizontal="right" vertical="center"/>
      <protection locked="0"/>
    </xf>
    <xf numFmtId="168" fontId="0" fillId="4" borderId="43" xfId="0" applyNumberFormat="1" applyFill="1" applyBorder="1" applyAlignment="1" applyProtection="1">
      <alignment horizontal="center" vertical="center"/>
      <protection locked="0"/>
    </xf>
    <xf numFmtId="167" fontId="7" fillId="0" borderId="43" xfId="0" applyNumberFormat="1" applyFont="1" applyBorder="1" applyAlignment="1" applyProtection="1">
      <alignment horizontal="right" vertical="center"/>
      <protection hidden="1"/>
    </xf>
    <xf numFmtId="167" fontId="0" fillId="4" borderId="39" xfId="0" applyNumberFormat="1" applyFill="1" applyBorder="1" applyAlignment="1" applyProtection="1">
      <alignment horizontal="right" vertical="center"/>
      <protection locked="0"/>
    </xf>
    <xf numFmtId="168" fontId="0" fillId="4" borderId="39" xfId="0" applyNumberFormat="1" applyFill="1" applyBorder="1" applyAlignment="1" applyProtection="1">
      <alignment horizontal="center" vertical="center"/>
      <protection locked="0"/>
    </xf>
    <xf numFmtId="167" fontId="7" fillId="0" borderId="39" xfId="0" applyNumberFormat="1" applyFont="1" applyBorder="1" applyAlignment="1" applyProtection="1">
      <alignment horizontal="right" vertical="center"/>
      <protection hidden="1"/>
    </xf>
    <xf numFmtId="0" fontId="5" fillId="0" borderId="45" xfId="0" applyFont="1" applyBorder="1" applyAlignment="1">
      <alignment horizontal="left" vertical="center"/>
    </xf>
    <xf numFmtId="0" fontId="5" fillId="0" borderId="43" xfId="0" applyFont="1" applyBorder="1" applyAlignment="1">
      <alignment horizontal="left" vertical="center"/>
    </xf>
    <xf numFmtId="0" fontId="5" fillId="0" borderId="39" xfId="0" applyFont="1" applyBorder="1" applyAlignment="1">
      <alignment horizontal="left" vertical="center"/>
    </xf>
    <xf numFmtId="0" fontId="9" fillId="0" borderId="43" xfId="0" applyFont="1" applyBorder="1" applyAlignment="1" applyProtection="1">
      <alignment vertical="center"/>
      <protection hidden="1"/>
    </xf>
    <xf numFmtId="167" fontId="7" fillId="0" borderId="42" xfId="0" applyNumberFormat="1" applyFont="1" applyBorder="1" applyAlignment="1" applyProtection="1">
      <alignment horizontal="right" vertical="center"/>
      <protection hidden="1"/>
    </xf>
    <xf numFmtId="167" fontId="0" fillId="4" borderId="43" xfId="0" applyNumberFormat="1" applyFill="1" applyBorder="1" applyAlignment="1" applyProtection="1">
      <alignment horizontal="right" vertical="center"/>
      <protection hidden="1"/>
    </xf>
    <xf numFmtId="167" fontId="0" fillId="0" borderId="43" xfId="0" applyNumberFormat="1" applyBorder="1" applyAlignment="1" applyProtection="1">
      <alignment horizontal="right" vertical="center"/>
      <protection hidden="1"/>
    </xf>
    <xf numFmtId="167" fontId="0" fillId="4" borderId="39" xfId="0" applyNumberFormat="1" applyFill="1" applyBorder="1" applyAlignment="1" applyProtection="1">
      <alignment horizontal="right" vertical="center"/>
      <protection hidden="1"/>
    </xf>
    <xf numFmtId="167" fontId="0" fillId="0" borderId="39" xfId="0" applyNumberFormat="1" applyBorder="1" applyAlignment="1" applyProtection="1">
      <alignment horizontal="right" vertical="center"/>
      <protection hidden="1"/>
    </xf>
    <xf numFmtId="16" fontId="38" fillId="8" borderId="0" xfId="0" quotePrefix="1" applyNumberFormat="1" applyFont="1" applyFill="1" applyAlignment="1" applyProtection="1">
      <alignment horizontal="left" vertical="center"/>
      <protection hidden="1"/>
    </xf>
    <xf numFmtId="0" fontId="7" fillId="0" borderId="8" xfId="2" applyFont="1" applyBorder="1" applyAlignment="1" applyProtection="1">
      <alignment horizontal="left" vertical="top" wrapText="1"/>
      <protection hidden="1"/>
    </xf>
    <xf numFmtId="0" fontId="0" fillId="0" borderId="41" xfId="0" applyBorder="1" applyAlignment="1" applyProtection="1">
      <alignment vertical="center"/>
      <protection hidden="1"/>
    </xf>
    <xf numFmtId="0" fontId="9" fillId="3" borderId="9" xfId="0" applyFont="1" applyFill="1" applyBorder="1" applyAlignment="1" applyProtection="1">
      <alignment vertical="top" wrapText="1"/>
      <protection hidden="1"/>
    </xf>
    <xf numFmtId="0" fontId="5" fillId="3" borderId="0" xfId="0" applyFont="1" applyFill="1" applyAlignment="1" applyProtection="1">
      <alignment vertical="top"/>
      <protection hidden="1"/>
    </xf>
    <xf numFmtId="0" fontId="5" fillId="3" borderId="6" xfId="0" applyFont="1" applyFill="1" applyBorder="1" applyAlignment="1" applyProtection="1">
      <alignment vertical="top"/>
      <protection hidden="1"/>
    </xf>
    <xf numFmtId="0" fontId="5" fillId="0" borderId="40" xfId="0" applyFont="1" applyBorder="1" applyAlignment="1" applyProtection="1">
      <alignment vertical="center"/>
      <protection hidden="1"/>
    </xf>
    <xf numFmtId="2" fontId="0" fillId="0" borderId="42" xfId="0" applyNumberFormat="1" applyBorder="1" applyAlignment="1" applyProtection="1">
      <alignment horizontal="center" vertical="center"/>
      <protection hidden="1"/>
    </xf>
    <xf numFmtId="0" fontId="9" fillId="3" borderId="7" xfId="0" applyFont="1" applyFill="1" applyBorder="1" applyAlignment="1" applyProtection="1">
      <alignment horizontal="center" vertical="top" wrapText="1"/>
      <protection hidden="1"/>
    </xf>
    <xf numFmtId="0" fontId="9" fillId="3" borderId="13" xfId="0" applyFont="1" applyFill="1" applyBorder="1" applyAlignment="1" applyProtection="1">
      <alignment horizontal="center" vertical="top" wrapText="1"/>
      <protection hidden="1"/>
    </xf>
    <xf numFmtId="0" fontId="40"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9"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6" xfId="0" applyNumberFormat="1" applyFont="1" applyFill="1" applyBorder="1" applyAlignment="1" applyProtection="1">
      <alignment horizontal="center" vertical="top"/>
      <protection hidden="1"/>
    </xf>
    <xf numFmtId="0" fontId="5" fillId="10" borderId="36"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0" fontId="17" fillId="0" borderId="5" xfId="0" applyFont="1" applyBorder="1" applyAlignment="1" applyProtection="1">
      <alignment horizontal="center" vertical="top" wrapText="1"/>
      <protection locked="0" hidden="1"/>
    </xf>
    <xf numFmtId="0" fontId="9" fillId="8" borderId="35" xfId="0" applyFont="1" applyFill="1" applyBorder="1" applyAlignment="1" applyProtection="1">
      <alignment vertical="center"/>
      <protection hidden="1"/>
    </xf>
    <xf numFmtId="2" fontId="7" fillId="8" borderId="36" xfId="0" applyNumberFormat="1" applyFont="1" applyFill="1" applyBorder="1" applyAlignment="1" applyProtection="1">
      <alignment vertical="center"/>
      <protection hidden="1"/>
    </xf>
    <xf numFmtId="167" fontId="7" fillId="8" borderId="36" xfId="0" applyNumberFormat="1" applyFont="1" applyFill="1" applyBorder="1" applyAlignment="1" applyProtection="1">
      <alignment horizontal="right" vertical="center"/>
      <protection hidden="1"/>
    </xf>
    <xf numFmtId="167" fontId="0" fillId="8" borderId="36" xfId="0" applyNumberFormat="1" applyFill="1" applyBorder="1" applyAlignment="1" applyProtection="1">
      <alignment horizontal="right" vertical="center"/>
      <protection hidden="1"/>
    </xf>
    <xf numFmtId="167" fontId="0" fillId="8" borderId="66" xfId="0" applyNumberFormat="1" applyFill="1" applyBorder="1" applyAlignment="1" applyProtection="1">
      <alignment horizontal="right" vertical="center"/>
      <protection hidden="1"/>
    </xf>
    <xf numFmtId="167" fontId="0" fillId="3" borderId="69" xfId="0" applyNumberFormat="1" applyFill="1" applyBorder="1" applyAlignment="1" applyProtection="1">
      <alignment horizontal="right" vertical="center"/>
      <protection hidden="1"/>
    </xf>
    <xf numFmtId="167" fontId="0" fillId="3" borderId="36" xfId="0" applyNumberFormat="1" applyFill="1" applyBorder="1" applyAlignment="1" applyProtection="1">
      <alignment horizontal="right" vertical="center"/>
      <protection hidden="1"/>
    </xf>
    <xf numFmtId="167" fontId="0" fillId="3" borderId="36" xfId="0" applyNumberFormat="1" applyFill="1" applyBorder="1" applyAlignment="1" applyProtection="1">
      <alignment horizontal="center" vertical="center"/>
      <protection hidden="1"/>
    </xf>
    <xf numFmtId="167" fontId="7" fillId="3" borderId="34" xfId="0" applyNumberFormat="1" applyFont="1" applyFill="1" applyBorder="1" applyAlignment="1" applyProtection="1">
      <alignment horizontal="right" vertical="center"/>
      <protection hidden="1"/>
    </xf>
    <xf numFmtId="167" fontId="0" fillId="3" borderId="69" xfId="0" applyNumberFormat="1" applyFill="1" applyBorder="1" applyAlignment="1" applyProtection="1">
      <alignment horizontal="center" vertical="center"/>
      <protection hidden="1"/>
    </xf>
    <xf numFmtId="0" fontId="7" fillId="3" borderId="62" xfId="0" applyFont="1" applyFill="1" applyBorder="1" applyAlignment="1">
      <alignment vertical="center"/>
    </xf>
    <xf numFmtId="167" fontId="0" fillId="0" borderId="14" xfId="0" applyNumberFormat="1" applyBorder="1" applyAlignment="1" applyProtection="1">
      <alignment horizontal="right" vertical="top"/>
      <protection hidden="1"/>
    </xf>
    <xf numFmtId="2" fontId="0" fillId="4" borderId="8" xfId="0" applyNumberFormat="1" applyFill="1" applyBorder="1" applyAlignment="1" applyProtection="1">
      <alignment horizontal="center" vertical="top"/>
      <protection locked="0"/>
    </xf>
    <xf numFmtId="4" fontId="0" fillId="0" borderId="15" xfId="0" applyNumberFormat="1" applyBorder="1" applyAlignment="1" applyProtection="1">
      <alignment horizontal="right" vertical="top"/>
      <protection locked="0" hidden="1"/>
    </xf>
    <xf numFmtId="16" fontId="0" fillId="0" borderId="49" xfId="0" quotePrefix="1" applyNumberFormat="1" applyBorder="1" applyAlignment="1" applyProtection="1">
      <alignment horizontal="left" vertical="top" wrapText="1"/>
      <protection hidden="1"/>
    </xf>
    <xf numFmtId="0" fontId="5" fillId="0" borderId="44"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8" xfId="0" applyFont="1" applyBorder="1" applyAlignment="1" applyProtection="1">
      <alignment vertical="top"/>
      <protection locked="0" hidden="1"/>
    </xf>
    <xf numFmtId="0" fontId="0" fillId="0" borderId="46" xfId="0" applyBorder="1" applyAlignment="1" applyProtection="1">
      <alignment vertical="top"/>
      <protection locked="0" hidden="1"/>
    </xf>
    <xf numFmtId="4" fontId="0" fillId="0" borderId="46" xfId="0" applyNumberFormat="1" applyBorder="1" applyAlignment="1" applyProtection="1">
      <alignment vertical="top"/>
      <protection hidden="1"/>
    </xf>
    <xf numFmtId="0" fontId="0" fillId="8" borderId="62"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7" fontId="0" fillId="4" borderId="12" xfId="0" applyNumberFormat="1" applyFill="1" applyBorder="1" applyAlignment="1" applyProtection="1">
      <alignment vertical="center"/>
      <protection locked="0"/>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2" xfId="0" applyBorder="1" applyAlignment="1" applyProtection="1">
      <alignment horizontal="left" vertical="top"/>
      <protection hidden="1"/>
    </xf>
    <xf numFmtId="0" fontId="0" fillId="3" borderId="21" xfId="0" applyFill="1" applyBorder="1" applyAlignment="1" applyProtection="1">
      <alignment horizontal="left" vertical="center" wrapText="1"/>
      <protection hidden="1"/>
    </xf>
    <xf numFmtId="16" fontId="0" fillId="0" borderId="49" xfId="0" quotePrefix="1" applyNumberFormat="1" applyBorder="1" applyAlignment="1" applyProtection="1">
      <alignment horizontal="left" vertical="top"/>
      <protection hidden="1"/>
    </xf>
    <xf numFmtId="16" fontId="0" fillId="0" borderId="47" xfId="0" quotePrefix="1" applyNumberFormat="1" applyBorder="1" applyAlignment="1" applyProtection="1">
      <alignment horizontal="center" vertical="top" wrapText="1"/>
      <protection hidden="1"/>
    </xf>
    <xf numFmtId="16" fontId="0" fillId="0" borderId="23" xfId="0" quotePrefix="1" applyNumberFormat="1" applyBorder="1" applyAlignment="1" applyProtection="1">
      <alignment horizontal="left" vertical="top"/>
      <protection hidden="1"/>
    </xf>
    <xf numFmtId="16" fontId="5" fillId="0" borderId="23"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7" fillId="0" borderId="35" xfId="0" applyFont="1" applyBorder="1" applyAlignment="1" applyProtection="1">
      <alignment horizontal="center"/>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0" fillId="0" borderId="22" xfId="0" applyBorder="1" applyAlignment="1" applyProtection="1">
      <alignment horizontal="right" vertical="top"/>
      <protection hidden="1"/>
    </xf>
    <xf numFmtId="0" fontId="20" fillId="0" borderId="42" xfId="0" applyFont="1" applyBorder="1" applyAlignment="1" applyProtection="1">
      <alignment horizontal="right" vertical="top"/>
      <protection hidden="1"/>
    </xf>
    <xf numFmtId="0" fontId="0" fillId="0" borderId="40" xfId="0" applyBorder="1" applyAlignment="1" applyProtection="1">
      <alignment vertical="top"/>
      <protection hidden="1"/>
    </xf>
    <xf numFmtId="0" fontId="0" fillId="0" borderId="40" xfId="0" applyBorder="1" applyAlignment="1" applyProtection="1">
      <alignment horizontal="left" vertical="top"/>
      <protection hidden="1"/>
    </xf>
    <xf numFmtId="0" fontId="0" fillId="0" borderId="54" xfId="0" quotePrefix="1" applyBorder="1" applyAlignment="1">
      <alignment vertical="top"/>
    </xf>
    <xf numFmtId="0" fontId="0" fillId="4" borderId="20" xfId="0" quotePrefix="1" applyFill="1" applyBorder="1" applyAlignment="1" applyProtection="1">
      <alignment vertical="top"/>
      <protection locked="0"/>
    </xf>
    <xf numFmtId="16" fontId="38" fillId="8" borderId="34"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1" xfId="0" applyBorder="1" applyAlignment="1" applyProtection="1">
      <alignment vertical="top"/>
      <protection hidden="1"/>
    </xf>
    <xf numFmtId="0" fontId="0" fillId="0" borderId="42" xfId="0" applyBorder="1" applyAlignment="1" applyProtection="1">
      <alignment vertical="center"/>
      <protection hidden="1"/>
    </xf>
    <xf numFmtId="0" fontId="0" fillId="0" borderId="44" xfId="0" applyBorder="1" applyAlignment="1" applyProtection="1">
      <alignment vertical="top"/>
      <protection hidden="1"/>
    </xf>
    <xf numFmtId="0" fontId="7" fillId="0" borderId="41"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3" xfId="0" quotePrefix="1" applyNumberFormat="1" applyFont="1" applyBorder="1" applyAlignment="1" applyProtection="1">
      <alignment vertical="top"/>
      <protection hidden="1"/>
    </xf>
    <xf numFmtId="16" fontId="0" fillId="0" borderId="49"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4" xfId="0" applyBorder="1" applyAlignment="1" applyProtection="1">
      <alignment vertical="top"/>
      <protection hidden="1"/>
    </xf>
    <xf numFmtId="0" fontId="5" fillId="0" borderId="46" xfId="1" applyFont="1" applyBorder="1" applyAlignment="1" applyProtection="1">
      <alignment horizontal="lef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0" borderId="0" xfId="1" applyFont="1" applyAlignment="1" applyProtection="1">
      <alignment horizontal="left" vertical="top"/>
      <protection hidden="1"/>
    </xf>
    <xf numFmtId="0" fontId="5" fillId="8" borderId="0" xfId="2" applyFont="1" applyFill="1" applyAlignment="1" applyProtection="1">
      <alignment vertical="top"/>
      <protection hidden="1"/>
    </xf>
    <xf numFmtId="0" fontId="7" fillId="4" borderId="23" xfId="0" applyFont="1" applyFill="1" applyBorder="1" applyAlignment="1" applyProtection="1">
      <alignment horizontal="left" vertical="center"/>
      <protection locked="0"/>
    </xf>
    <xf numFmtId="10" fontId="0" fillId="0" borderId="1" xfId="0" quotePrefix="1" applyNumberFormat="1" applyBorder="1" applyAlignment="1" applyProtection="1">
      <alignment horizontal="center" vertical="top"/>
      <protection hidden="1"/>
    </xf>
    <xf numFmtId="16" fontId="22" fillId="8" borderId="62"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16" fontId="9" fillId="3" borderId="4" xfId="0" applyNumberFormat="1" applyFont="1" applyFill="1" applyBorder="1" applyAlignment="1" applyProtection="1">
      <alignment horizontal="center" vertical="top" wrapText="1"/>
      <protection hidden="1"/>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4" xfId="0" quotePrefix="1" applyNumberFormat="1" applyBorder="1" applyAlignment="1" applyProtection="1">
      <alignment vertical="top"/>
      <protection hidden="1"/>
    </xf>
    <xf numFmtId="16" fontId="9" fillId="0" borderId="49" xfId="0" quotePrefix="1" applyNumberFormat="1" applyFont="1" applyBorder="1" applyAlignment="1" applyProtection="1">
      <alignment vertical="top"/>
      <protection hidden="1"/>
    </xf>
    <xf numFmtId="16" fontId="23" fillId="0" borderId="49" xfId="0" quotePrefix="1" applyNumberFormat="1" applyFont="1" applyBorder="1" applyAlignment="1" applyProtection="1">
      <alignment vertical="top"/>
      <protection hidden="1"/>
    </xf>
    <xf numFmtId="16" fontId="9" fillId="0" borderId="44" xfId="0" quotePrefix="1" applyNumberFormat="1" applyFont="1" applyBorder="1" applyAlignment="1" applyProtection="1">
      <alignment vertical="top"/>
      <protection hidden="1"/>
    </xf>
    <xf numFmtId="0" fontId="7" fillId="0" borderId="21" xfId="0" applyFont="1" applyBorder="1" applyAlignment="1" applyProtection="1">
      <alignment vertical="top" wrapText="1"/>
      <protection hidden="1"/>
    </xf>
    <xf numFmtId="4" fontId="7" fillId="0" borderId="44" xfId="0" applyNumberFormat="1" applyFont="1" applyBorder="1" applyAlignment="1" applyProtection="1">
      <alignment horizontal="center" vertical="center"/>
      <protection hidden="1"/>
    </xf>
    <xf numFmtId="0" fontId="7" fillId="0" borderId="22" xfId="0" applyFont="1" applyBorder="1" applyAlignment="1" applyProtection="1">
      <alignment vertical="top"/>
      <protection hidden="1"/>
    </xf>
    <xf numFmtId="0" fontId="0" fillId="0" borderId="34"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3" xfId="0" quotePrefix="1" applyNumberFormat="1" applyFont="1" applyBorder="1" applyAlignment="1" applyProtection="1">
      <alignment horizontal="left" vertical="top"/>
      <protection hidden="1"/>
    </xf>
    <xf numFmtId="49" fontId="5" fillId="0" borderId="39"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9" fillId="0" borderId="15" xfId="0" quotePrefix="1" applyNumberFormat="1" applyFont="1" applyBorder="1" applyAlignment="1" applyProtection="1">
      <alignment horizontal="left" vertical="top"/>
      <protection hidden="1"/>
    </xf>
    <xf numFmtId="49" fontId="5" fillId="0" borderId="43"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1"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5"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3"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5"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5"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2"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3" fillId="0" borderId="0" xfId="0" applyFont="1" applyAlignment="1" applyProtection="1">
      <alignment vertical="top"/>
      <protection hidden="1"/>
    </xf>
    <xf numFmtId="0" fontId="54"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6" fillId="0" borderId="0" xfId="0" applyFont="1" applyAlignment="1" applyProtection="1">
      <alignment horizontal="right" vertical="top"/>
      <protection hidden="1"/>
    </xf>
    <xf numFmtId="0" fontId="56" fillId="0" borderId="0" xfId="0" applyFont="1" applyAlignment="1" applyProtection="1">
      <alignment vertical="top"/>
      <protection hidden="1"/>
    </xf>
    <xf numFmtId="0" fontId="57" fillId="0" borderId="0" xfId="0" applyFont="1" applyAlignment="1" applyProtection="1">
      <alignment horizontal="right" vertical="top"/>
      <protection hidden="1"/>
    </xf>
    <xf numFmtId="0" fontId="58" fillId="0" borderId="0" xfId="0" applyFont="1" applyAlignment="1" applyProtection="1">
      <alignment vertical="top"/>
      <protection hidden="1"/>
    </xf>
    <xf numFmtId="0" fontId="58" fillId="0" borderId="0" xfId="0" applyFont="1" applyAlignment="1" applyProtection="1">
      <alignment vertical="center"/>
      <protection hidden="1"/>
    </xf>
    <xf numFmtId="0" fontId="58" fillId="0" borderId="0" xfId="0" applyFont="1"/>
    <xf numFmtId="0" fontId="7" fillId="10" borderId="36"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60" fillId="0" borderId="9" xfId="0" applyFont="1" applyBorder="1" applyAlignment="1" applyProtection="1">
      <alignment horizontal="left" vertical="center"/>
      <protection locked="0"/>
    </xf>
    <xf numFmtId="0" fontId="36" fillId="0" borderId="46"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4" xfId="2" applyFont="1" applyBorder="1" applyAlignment="1" applyProtection="1">
      <alignment vertical="center"/>
      <protection hidden="1"/>
    </xf>
    <xf numFmtId="0" fontId="17" fillId="0" borderId="0" xfId="2" applyFont="1" applyAlignment="1" applyProtection="1">
      <alignment vertical="top"/>
      <protection hidden="1"/>
    </xf>
    <xf numFmtId="0" fontId="17" fillId="0" borderId="0" xfId="2" applyFont="1" applyProtection="1">
      <protection hidden="1"/>
    </xf>
    <xf numFmtId="0" fontId="47"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1" xfId="0" applyBorder="1" applyAlignment="1" applyProtection="1">
      <alignment horizontal="center" vertical="center"/>
      <protection hidden="1"/>
    </xf>
    <xf numFmtId="0" fontId="0" fillId="0" borderId="46" xfId="0" applyBorder="1" applyAlignment="1" applyProtection="1">
      <alignment vertical="top"/>
      <protection hidden="1"/>
    </xf>
    <xf numFmtId="0" fontId="0" fillId="3" borderId="0" xfId="0" applyFill="1" applyAlignment="1">
      <alignment vertical="center"/>
    </xf>
    <xf numFmtId="0" fontId="7" fillId="0" borderId="8" xfId="0" applyFont="1" applyBorder="1"/>
    <xf numFmtId="0" fontId="5" fillId="0" borderId="2" xfId="0" applyFont="1" applyBorder="1" applyAlignment="1">
      <alignment vertical="center"/>
    </xf>
    <xf numFmtId="0" fontId="0" fillId="0" borderId="4" xfId="0" applyBorder="1"/>
    <xf numFmtId="0" fontId="5" fillId="0" borderId="20" xfId="0" applyFont="1" applyBorder="1" applyAlignment="1">
      <alignment vertical="center"/>
    </xf>
    <xf numFmtId="0" fontId="0" fillId="0" borderId="44" xfId="0" applyBorder="1"/>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1" fillId="0" borderId="49" xfId="0" applyFont="1" applyBorder="1" applyAlignment="1" applyProtection="1">
      <alignment vertical="center"/>
      <protection locked="0" hidden="1"/>
    </xf>
    <xf numFmtId="0" fontId="17" fillId="0" borderId="34" xfId="0" applyFont="1" applyBorder="1" applyAlignment="1" applyProtection="1">
      <alignment vertical="center"/>
      <protection locked="0" hidden="1"/>
    </xf>
    <xf numFmtId="0" fontId="17" fillId="0" borderId="57" xfId="0" applyFont="1" applyBorder="1" applyAlignment="1" applyProtection="1">
      <alignment vertical="center"/>
      <protection locked="0" hidden="1"/>
    </xf>
    <xf numFmtId="49" fontId="5" fillId="0" borderId="72" xfId="0" applyNumberFormat="1" applyFont="1" applyBorder="1" applyAlignment="1" applyProtection="1">
      <alignment vertical="center"/>
      <protection hidden="1"/>
    </xf>
    <xf numFmtId="16" fontId="0" fillId="0" borderId="22" xfId="0" quotePrefix="1" applyNumberFormat="1" applyBorder="1" applyAlignment="1" applyProtection="1">
      <alignment horizontal="left" vertical="top"/>
      <protection hidden="1"/>
    </xf>
    <xf numFmtId="0" fontId="38" fillId="3" borderId="0" xfId="0" applyFont="1" applyFill="1" applyAlignment="1">
      <alignment vertical="center"/>
    </xf>
    <xf numFmtId="0" fontId="0" fillId="3" borderId="0" xfId="0" applyFill="1"/>
    <xf numFmtId="4" fontId="61" fillId="0" borderId="1" xfId="0" applyNumberFormat="1" applyFont="1" applyBorder="1" applyAlignment="1" applyProtection="1">
      <alignment vertical="top"/>
      <protection locked="0"/>
    </xf>
    <xf numFmtId="4" fontId="61" fillId="0" borderId="1" xfId="0" applyNumberFormat="1" applyFont="1" applyBorder="1" applyAlignment="1" applyProtection="1">
      <alignment horizontal="right" vertical="top"/>
      <protection locked="0"/>
    </xf>
    <xf numFmtId="0" fontId="36" fillId="0" borderId="46"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4" xfId="2" applyFont="1" applyFill="1" applyBorder="1" applyAlignment="1" applyProtection="1">
      <alignment horizontal="center" vertical="top"/>
      <protection hidden="1"/>
    </xf>
    <xf numFmtId="0" fontId="45" fillId="0" borderId="32" xfId="2" applyFont="1" applyBorder="1" applyAlignment="1" applyProtection="1">
      <alignment vertical="top" wrapText="1"/>
      <protection hidden="1"/>
    </xf>
    <xf numFmtId="0" fontId="45" fillId="0" borderId="48" xfId="2" applyFont="1" applyBorder="1" applyAlignment="1" applyProtection="1">
      <alignment vertical="top" wrapText="1"/>
      <protection hidden="1"/>
    </xf>
    <xf numFmtId="0" fontId="8" fillId="0" borderId="36"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5" fillId="0" borderId="34" xfId="2" applyFont="1" applyBorder="1" applyAlignment="1" applyProtection="1">
      <alignment vertical="top" wrapText="1"/>
      <protection hidden="1"/>
    </xf>
    <xf numFmtId="0" fontId="0" fillId="3" borderId="71" xfId="2" applyFont="1" applyFill="1" applyBorder="1" applyAlignment="1" applyProtection="1">
      <alignment horizontal="center" vertical="top"/>
      <protection hidden="1"/>
    </xf>
    <xf numFmtId="0" fontId="21" fillId="0" borderId="48" xfId="2" applyFont="1" applyBorder="1" applyAlignment="1" applyProtection="1">
      <alignment vertical="top" wrapText="1"/>
      <protection hidden="1"/>
    </xf>
    <xf numFmtId="0" fontId="21" fillId="0" borderId="32" xfId="2" applyFont="1" applyBorder="1" applyAlignment="1" applyProtection="1">
      <alignment vertical="top" wrapText="1"/>
      <protection hidden="1"/>
    </xf>
    <xf numFmtId="0" fontId="21" fillId="0" borderId="32" xfId="1" applyFont="1" applyBorder="1" applyAlignment="1" applyProtection="1">
      <alignment vertical="top"/>
      <protection hidden="1"/>
    </xf>
    <xf numFmtId="0" fontId="21" fillId="0" borderId="48" xfId="1" applyFont="1" applyBorder="1" applyAlignment="1" applyProtection="1">
      <alignment vertical="top"/>
      <protection hidden="1"/>
    </xf>
    <xf numFmtId="0" fontId="0" fillId="0" borderId="49" xfId="1" applyFont="1" applyBorder="1" applyAlignment="1" applyProtection="1">
      <alignment vertical="top"/>
      <protection locked="0"/>
    </xf>
    <xf numFmtId="0" fontId="0" fillId="0" borderId="0" xfId="1" applyFont="1" applyAlignment="1" applyProtection="1">
      <alignment vertical="top"/>
      <protection locked="0"/>
    </xf>
    <xf numFmtId="0" fontId="0" fillId="4" borderId="49" xfId="1" applyFont="1" applyFill="1" applyBorder="1" applyAlignment="1" applyProtection="1">
      <alignment vertical="top" wrapText="1"/>
      <protection locked="0"/>
    </xf>
    <xf numFmtId="0" fontId="5" fillId="3" borderId="54" xfId="2" applyFont="1" applyFill="1" applyBorder="1" applyAlignment="1" applyProtection="1">
      <alignment horizontal="center" vertical="top"/>
      <protection hidden="1"/>
    </xf>
    <xf numFmtId="0" fontId="5" fillId="3" borderId="54" xfId="2" quotePrefix="1" applyFont="1" applyFill="1" applyBorder="1" applyAlignment="1" applyProtection="1">
      <alignment horizontal="center" vertical="top"/>
      <protection hidden="1"/>
    </xf>
    <xf numFmtId="0" fontId="0" fillId="3" borderId="49" xfId="1" applyFont="1" applyFill="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73" xfId="0" applyFill="1" applyBorder="1"/>
    <xf numFmtId="0" fontId="0" fillId="13" borderId="74" xfId="0" applyFill="1" applyBorder="1"/>
    <xf numFmtId="167" fontId="0" fillId="13" borderId="74" xfId="0" applyNumberFormat="1" applyFill="1" applyBorder="1"/>
    <xf numFmtId="0" fontId="62" fillId="0" borderId="0" xfId="0" applyFont="1"/>
    <xf numFmtId="167" fontId="62" fillId="0" borderId="0" xfId="0" applyNumberFormat="1" applyFont="1"/>
    <xf numFmtId="0" fontId="36" fillId="0" borderId="0" xfId="2" quotePrefix="1" applyFont="1" applyAlignment="1" applyProtection="1">
      <alignment vertical="top" wrapText="1"/>
      <protection hidden="1"/>
    </xf>
    <xf numFmtId="0" fontId="0" fillId="0" borderId="52" xfId="0" applyBorder="1" applyAlignment="1" applyProtection="1">
      <alignment vertical="top"/>
      <protection hidden="1"/>
    </xf>
    <xf numFmtId="3" fontId="0" fillId="0" borderId="14" xfId="0" applyNumberFormat="1" applyBorder="1" applyAlignment="1" applyProtection="1">
      <alignment horizontal="center" vertical="top"/>
      <protection hidden="1"/>
    </xf>
    <xf numFmtId="3" fontId="0" fillId="0" borderId="14" xfId="0" applyNumberFormat="1" applyBorder="1" applyAlignment="1" applyProtection="1">
      <alignment horizontal="center" vertical="top" wrapText="1"/>
      <protection hidden="1"/>
    </xf>
    <xf numFmtId="4" fontId="0" fillId="0" borderId="7" xfId="0" applyNumberFormat="1" applyBorder="1" applyAlignment="1" applyProtection="1">
      <alignment vertical="top"/>
      <protection hidden="1"/>
    </xf>
    <xf numFmtId="0" fontId="5" fillId="0" borderId="15" xfId="0" quotePrefix="1" applyFont="1" applyBorder="1" applyAlignment="1" applyProtection="1">
      <alignment horizontal="right" vertical="top"/>
      <protection hidden="1"/>
    </xf>
    <xf numFmtId="0" fontId="5" fillId="0" borderId="51" xfId="0" quotePrefix="1" applyFont="1" applyBorder="1" applyAlignment="1" applyProtection="1">
      <alignment horizontal="right" vertical="top"/>
      <protection hidden="1"/>
    </xf>
    <xf numFmtId="0" fontId="5" fillId="0" borderId="58" xfId="0" quotePrefix="1" applyFont="1" applyBorder="1" applyAlignment="1" applyProtection="1">
      <alignment horizontal="right" vertical="top"/>
      <protection hidden="1"/>
    </xf>
    <xf numFmtId="0" fontId="0" fillId="0" borderId="47" xfId="0" applyBorder="1" applyAlignment="1" applyProtection="1">
      <alignment vertical="top"/>
      <protection hidden="1"/>
    </xf>
    <xf numFmtId="0" fontId="0" fillId="0" borderId="53" xfId="0" applyBorder="1" applyAlignment="1" applyProtection="1">
      <alignment vertical="top"/>
      <protection hidden="1"/>
    </xf>
    <xf numFmtId="0" fontId="0" fillId="0" borderId="1" xfId="0" applyBorder="1" applyAlignment="1">
      <alignment vertical="top"/>
    </xf>
    <xf numFmtId="0" fontId="20" fillId="4" borderId="0" xfId="1" applyFont="1" applyFill="1" applyAlignment="1" applyProtection="1">
      <alignment vertical="top" wrapText="1"/>
      <protection locked="0" hidden="1"/>
    </xf>
    <xf numFmtId="4" fontId="7" fillId="0" borderId="61"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1" fillId="0" borderId="34" xfId="0" applyFont="1" applyBorder="1" applyAlignment="1" applyProtection="1">
      <alignment vertical="center"/>
      <protection locked="0" hidden="1"/>
    </xf>
    <xf numFmtId="0" fontId="41" fillId="0" borderId="0" xfId="0" applyFont="1" applyAlignment="1" applyProtection="1">
      <alignment vertical="center"/>
      <protection locked="0" hidden="1"/>
    </xf>
    <xf numFmtId="167" fontId="0" fillId="0" borderId="34" xfId="0" applyNumberFormat="1" applyBorder="1" applyAlignment="1" applyProtection="1">
      <alignment vertical="top"/>
      <protection hidden="1"/>
    </xf>
    <xf numFmtId="0" fontId="9" fillId="0" borderId="51" xfId="0" applyFont="1" applyBorder="1" applyAlignment="1" applyProtection="1">
      <alignment vertical="top"/>
      <protection hidden="1"/>
    </xf>
    <xf numFmtId="167" fontId="0" fillId="0" borderId="51" xfId="0" applyNumberFormat="1" applyBorder="1" applyAlignment="1" applyProtection="1">
      <alignment horizontal="right" vertical="top"/>
      <protection hidden="1"/>
    </xf>
    <xf numFmtId="167" fontId="0" fillId="0" borderId="51" xfId="0" quotePrefix="1" applyNumberFormat="1" applyBorder="1" applyAlignment="1" applyProtection="1">
      <alignment horizontal="right" vertical="top"/>
      <protection hidden="1"/>
    </xf>
    <xf numFmtId="167" fontId="7" fillId="0" borderId="51" xfId="0" applyNumberFormat="1" applyFont="1" applyBorder="1" applyAlignment="1" applyProtection="1">
      <alignment horizontal="right" vertical="top"/>
      <protection hidden="1"/>
    </xf>
    <xf numFmtId="167" fontId="0" fillId="0" borderId="76" xfId="0" applyNumberFormat="1" applyBorder="1" applyAlignment="1" applyProtection="1">
      <alignment horizontal="right" vertical="top"/>
      <protection hidden="1"/>
    </xf>
    <xf numFmtId="167" fontId="0" fillId="0" borderId="75" xfId="0" applyNumberFormat="1" applyBorder="1" applyAlignment="1" applyProtection="1">
      <alignment horizontal="right" vertical="top"/>
      <protection hidden="1"/>
    </xf>
    <xf numFmtId="4" fontId="20" fillId="3" borderId="6" xfId="0" applyNumberFormat="1" applyFont="1" applyFill="1" applyBorder="1" applyAlignment="1" applyProtection="1">
      <alignment vertical="center"/>
      <protection hidden="1"/>
    </xf>
    <xf numFmtId="167" fontId="0" fillId="0" borderId="14" xfId="0" applyNumberFormat="1" applyBorder="1" applyAlignment="1" applyProtection="1">
      <alignment horizontal="right" vertical="center"/>
      <protection hidden="1"/>
    </xf>
    <xf numFmtId="168" fontId="0" fillId="0" borderId="14" xfId="0" applyNumberFormat="1" applyBorder="1" applyAlignment="1" applyProtection="1">
      <alignment horizontal="center" vertical="center"/>
      <protection locked="0"/>
    </xf>
    <xf numFmtId="167" fontId="7" fillId="0" borderId="14" xfId="0" applyNumberFormat="1" applyFont="1" applyBorder="1" applyAlignment="1" applyProtection="1">
      <alignment horizontal="right" vertical="center"/>
      <protection hidden="1"/>
    </xf>
    <xf numFmtId="168" fontId="0" fillId="0" borderId="43" xfId="0" applyNumberFormat="1" applyBorder="1" applyAlignment="1" applyProtection="1">
      <alignment horizontal="center" vertical="center"/>
      <protection locked="0"/>
    </xf>
    <xf numFmtId="0" fontId="63" fillId="0" borderId="40" xfId="3" applyFont="1" applyBorder="1" applyAlignment="1" applyProtection="1">
      <alignment vertical="top"/>
      <protection hidden="1"/>
    </xf>
    <xf numFmtId="0" fontId="63" fillId="0" borderId="42" xfId="3" applyFont="1" applyBorder="1" applyAlignment="1" applyProtection="1">
      <alignment vertical="top"/>
      <protection hidden="1"/>
    </xf>
    <xf numFmtId="0" fontId="63" fillId="0" borderId="42" xfId="0" applyFont="1" applyBorder="1" applyAlignment="1" applyProtection="1">
      <alignment vertical="top"/>
      <protection hidden="1"/>
    </xf>
    <xf numFmtId="0" fontId="63" fillId="0" borderId="5" xfId="3" applyFont="1" applyBorder="1" applyAlignment="1" applyProtection="1">
      <alignment vertical="top"/>
      <protection hidden="1"/>
    </xf>
    <xf numFmtId="0" fontId="63" fillId="0" borderId="6" xfId="3" applyFont="1" applyBorder="1" applyAlignment="1" applyProtection="1">
      <alignment vertical="top"/>
      <protection hidden="1"/>
    </xf>
    <xf numFmtId="0" fontId="9" fillId="3" borderId="3" xfId="0" applyFont="1" applyFill="1" applyBorder="1" applyAlignment="1" applyProtection="1">
      <alignment vertical="center"/>
      <protection hidden="1"/>
    </xf>
    <xf numFmtId="4" fontId="0" fillId="0" borderId="13" xfId="0" applyNumberFormat="1" applyBorder="1" applyAlignment="1" applyProtection="1">
      <alignment vertical="top"/>
      <protection hidden="1"/>
    </xf>
    <xf numFmtId="4" fontId="20" fillId="3" borderId="47" xfId="2" applyNumberFormat="1" applyFont="1" applyFill="1" applyBorder="1" applyAlignment="1" applyProtection="1">
      <alignment horizontal="center" vertical="top"/>
      <protection hidden="1"/>
    </xf>
    <xf numFmtId="0" fontId="0" fillId="0" borderId="40" xfId="0" applyBorder="1" applyAlignment="1">
      <alignment vertical="top"/>
    </xf>
    <xf numFmtId="0" fontId="0" fillId="0" borderId="41" xfId="0" applyBorder="1" applyAlignment="1">
      <alignment vertical="top"/>
    </xf>
    <xf numFmtId="0" fontId="0" fillId="0" borderId="20" xfId="0" applyBorder="1" applyAlignment="1" applyProtection="1">
      <alignment vertical="center"/>
      <protection hidden="1"/>
    </xf>
    <xf numFmtId="0" fontId="0" fillId="0" borderId="21" xfId="0" applyBorder="1" applyAlignment="1" applyProtection="1">
      <alignment vertical="center"/>
      <protection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0" fontId="59" fillId="0" borderId="11" xfId="0" applyFont="1" applyBorder="1" applyAlignment="1" applyProtection="1">
      <alignment horizontal="center" textRotation="90"/>
      <protection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0" borderId="54" xfId="0" applyBorder="1" applyAlignment="1" applyProtection="1">
      <alignment vertical="top"/>
      <protection hidden="1"/>
    </xf>
    <xf numFmtId="0" fontId="0" fillId="0" borderId="49" xfId="0" applyBorder="1" applyAlignment="1" applyProtection="1">
      <alignment vertical="top"/>
      <protection hidden="1"/>
    </xf>
    <xf numFmtId="0" fontId="0" fillId="0" borderId="5" xfId="0" applyBorder="1" applyAlignment="1" applyProtection="1">
      <alignment vertical="top" wrapText="1"/>
      <protection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0" fillId="0" borderId="54" xfId="0" applyBorder="1" applyAlignment="1" applyProtection="1">
      <alignment horizontal="left" vertical="top" wrapText="1"/>
      <protection locked="0" hidden="1"/>
    </xf>
    <xf numFmtId="0" fontId="0" fillId="0" borderId="49" xfId="0" applyBorder="1" applyAlignment="1" applyProtection="1">
      <alignment horizontal="left" vertical="top" wrapText="1"/>
      <protection locked="0" hidden="1"/>
    </xf>
    <xf numFmtId="0" fontId="0" fillId="0" borderId="47" xfId="0" applyBorder="1" applyAlignment="1" applyProtection="1">
      <alignment horizontal="left" vertical="top" wrapText="1"/>
      <protection locked="0" hidden="1"/>
    </xf>
    <xf numFmtId="0" fontId="0" fillId="4" borderId="25" xfId="0" applyFill="1" applyBorder="1" applyAlignment="1" applyProtection="1">
      <alignment horizontal="left" vertical="top" wrapText="1" indent="1"/>
      <protection hidden="1"/>
    </xf>
    <xf numFmtId="0" fontId="0" fillId="4" borderId="30" xfId="0" applyFill="1" applyBorder="1" applyAlignment="1" applyProtection="1">
      <alignment horizontal="left" vertical="top" wrapText="1" indent="1"/>
      <protection hidden="1"/>
    </xf>
    <xf numFmtId="0" fontId="0" fillId="4" borderId="26" xfId="0" applyFill="1" applyBorder="1" applyAlignment="1" applyProtection="1">
      <alignment horizontal="left" vertical="top" wrapText="1" indent="1"/>
      <protection hidden="1"/>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0" fontId="0" fillId="0" borderId="20" xfId="0" applyBorder="1" applyAlignment="1" applyProtection="1">
      <alignment vertical="top"/>
      <protection hidden="1"/>
    </xf>
    <xf numFmtId="0" fontId="0" fillId="0" borderId="21" xfId="0" applyBorder="1" applyAlignment="1" applyProtection="1">
      <alignment vertical="top"/>
      <protection hidden="1"/>
    </xf>
    <xf numFmtId="0" fontId="0" fillId="7" borderId="27" xfId="0" applyFill="1" applyBorder="1" applyAlignment="1" applyProtection="1">
      <alignment horizontal="left" vertical="top" wrapText="1" indent="1"/>
      <protection hidden="1"/>
    </xf>
    <xf numFmtId="0" fontId="0" fillId="7" borderId="29"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50" fillId="8" borderId="0" xfId="0" applyFont="1" applyFill="1" applyAlignment="1" applyProtection="1">
      <alignment horizontal="center" vertical="center" textRotation="90"/>
      <protection hidden="1"/>
    </xf>
    <xf numFmtId="0" fontId="38" fillId="8" borderId="0" xfId="0" applyFont="1" applyFill="1" applyAlignment="1" applyProtection="1">
      <alignment vertical="center" wrapText="1"/>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40" xfId="0" applyBorder="1" applyAlignment="1" applyProtection="1">
      <alignment vertical="center"/>
      <protection hidden="1"/>
    </xf>
    <xf numFmtId="0" fontId="0" fillId="0" borderId="41" xfId="0" applyBorder="1" applyAlignment="1" applyProtection="1">
      <alignment vertical="center"/>
      <protection hidden="1"/>
    </xf>
    <xf numFmtId="0" fontId="0" fillId="0" borderId="54" xfId="0" applyBorder="1" applyAlignment="1" applyProtection="1">
      <alignment vertical="center"/>
      <protection hidden="1"/>
    </xf>
    <xf numFmtId="0" fontId="0" fillId="0" borderId="49" xfId="0" applyBorder="1" applyAlignment="1" applyProtection="1">
      <alignment vertical="center"/>
      <protection hidden="1"/>
    </xf>
    <xf numFmtId="0" fontId="0" fillId="0" borderId="20" xfId="0" quotePrefix="1" applyBorder="1" applyAlignment="1" applyProtection="1">
      <alignment vertical="top"/>
      <protection hidden="1"/>
    </xf>
    <xf numFmtId="0" fontId="7" fillId="4" borderId="41" xfId="0" applyFont="1" applyFill="1" applyBorder="1" applyAlignment="1" applyProtection="1">
      <alignment vertical="center"/>
      <protection locked="0"/>
    </xf>
    <xf numFmtId="0" fontId="7" fillId="4" borderId="42" xfId="0" applyFont="1" applyFill="1" applyBorder="1" applyAlignment="1" applyProtection="1">
      <alignment vertical="center"/>
      <protection locked="0"/>
    </xf>
    <xf numFmtId="0" fontId="7" fillId="4" borderId="49" xfId="0" applyFont="1" applyFill="1" applyBorder="1" applyAlignment="1" applyProtection="1">
      <alignment vertical="center"/>
      <protection locked="0"/>
    </xf>
    <xf numFmtId="0" fontId="7" fillId="4" borderId="47" xfId="0" applyFont="1" applyFill="1" applyBorder="1" applyAlignment="1" applyProtection="1">
      <alignment vertical="center"/>
      <protection locked="0"/>
    </xf>
    <xf numFmtId="0" fontId="7" fillId="5" borderId="21" xfId="0" applyFont="1" applyFill="1" applyBorder="1" applyAlignment="1" applyProtection="1">
      <alignment vertical="center"/>
      <protection locked="0"/>
    </xf>
    <xf numFmtId="0" fontId="7" fillId="5" borderId="44" xfId="0" applyFont="1" applyFill="1" applyBorder="1" applyAlignment="1" applyProtection="1">
      <alignment vertical="center"/>
      <protection locked="0"/>
    </xf>
    <xf numFmtId="0" fontId="25" fillId="8" borderId="34"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62" xfId="0" applyFont="1" applyFill="1" applyBorder="1" applyAlignment="1" applyProtection="1">
      <alignment vertical="center" wrapText="1"/>
      <protection hidden="1"/>
    </xf>
    <xf numFmtId="0" fontId="7" fillId="0" borderId="11" xfId="0" applyFont="1" applyBorder="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52" xfId="0" applyBorder="1" applyAlignment="1" applyProtection="1">
      <alignment vertical="center"/>
      <protection hidden="1"/>
    </xf>
    <xf numFmtId="0" fontId="0" fillId="0" borderId="46" xfId="0" applyBorder="1" applyAlignment="1" applyProtection="1">
      <alignment vertical="center"/>
      <protection hidden="1"/>
    </xf>
    <xf numFmtId="0" fontId="0" fillId="0" borderId="22" xfId="0" applyBorder="1" applyAlignment="1" applyProtection="1">
      <alignment vertical="center" wrapText="1"/>
      <protection hidden="1"/>
    </xf>
    <xf numFmtId="0" fontId="0" fillId="0" borderId="23" xfId="0" applyBorder="1" applyAlignment="1" applyProtection="1">
      <alignment vertical="center" wrapText="1"/>
      <protection hidden="1"/>
    </xf>
    <xf numFmtId="0" fontId="7" fillId="0" borderId="21" xfId="0" applyFont="1" applyBorder="1" applyAlignment="1" applyProtection="1">
      <alignment horizontal="left" vertical="center"/>
      <protection hidden="1"/>
    </xf>
    <xf numFmtId="0" fontId="7" fillId="0" borderId="44"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2" xfId="0" applyFont="1" applyBorder="1" applyAlignment="1" applyProtection="1">
      <alignment horizontal="left" vertical="center"/>
      <protection hidden="1"/>
    </xf>
    <xf numFmtId="0" fontId="7" fillId="0" borderId="49" xfId="0" applyFont="1" applyBorder="1" applyAlignment="1" applyProtection="1">
      <alignment horizontal="left" vertical="center"/>
      <protection hidden="1"/>
    </xf>
    <xf numFmtId="0" fontId="7" fillId="0" borderId="47"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9" xfId="0" applyBorder="1" applyAlignment="1" applyProtection="1">
      <alignment horizontal="center" vertical="center" textRotation="90"/>
      <protection hidden="1"/>
    </xf>
    <xf numFmtId="0" fontId="0" fillId="0" borderId="60" xfId="0" applyBorder="1" applyAlignment="1" applyProtection="1">
      <alignment horizontal="center" vertical="center" textRotation="90"/>
      <protection hidden="1"/>
    </xf>
    <xf numFmtId="0" fontId="0" fillId="0" borderId="61" xfId="0" applyBorder="1" applyAlignment="1" applyProtection="1">
      <alignment horizontal="center" vertical="center" textRotation="90"/>
      <protection hidden="1"/>
    </xf>
    <xf numFmtId="0" fontId="0" fillId="0" borderId="52" xfId="0" applyBorder="1" applyAlignment="1" applyProtection="1">
      <alignment vertical="center" wrapText="1"/>
      <protection hidden="1"/>
    </xf>
    <xf numFmtId="0" fontId="0" fillId="0" borderId="46"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50" fillId="8" borderId="0" xfId="0" applyFont="1" applyFill="1" applyAlignment="1" applyProtection="1">
      <alignment horizontal="center" textRotation="90"/>
      <protection hidden="1"/>
    </xf>
    <xf numFmtId="0" fontId="7" fillId="0" borderId="23" xfId="0" applyFont="1" applyBorder="1" applyAlignment="1" applyProtection="1">
      <alignment vertical="center"/>
      <protection hidden="1"/>
    </xf>
    <xf numFmtId="0" fontId="7" fillId="0" borderId="24" xfId="0" applyFont="1" applyBorder="1" applyAlignment="1" applyProtection="1">
      <alignment vertical="center"/>
      <protection hidden="1"/>
    </xf>
    <xf numFmtId="0" fontId="7" fillId="0" borderId="23" xfId="0" applyFont="1" applyBorder="1" applyAlignment="1" applyProtection="1">
      <alignment horizontal="left" vertical="center"/>
      <protection hidden="1"/>
    </xf>
    <xf numFmtId="0" fontId="7" fillId="0" borderId="24"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7" fillId="0" borderId="53"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3" xfId="0" applyFont="1" applyBorder="1" applyAlignment="1" applyProtection="1">
      <alignment horizontal="left"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16" fontId="5" fillId="0" borderId="5" xfId="0" quotePrefix="1" applyNumberFormat="1" applyFont="1" applyBorder="1" applyAlignment="1" applyProtection="1">
      <alignment horizontal="center" vertical="top"/>
      <protection hidden="1"/>
    </xf>
    <xf numFmtId="16" fontId="5" fillId="0" borderId="7" xfId="0" quotePrefix="1" applyNumberFormat="1" applyFont="1" applyBorder="1" applyAlignment="1" applyProtection="1">
      <alignment horizontal="center" vertical="top"/>
      <protection hidden="1"/>
    </xf>
    <xf numFmtId="49" fontId="5" fillId="0" borderId="5" xfId="0" quotePrefix="1" applyNumberFormat="1" applyFont="1" applyBorder="1" applyAlignment="1" applyProtection="1">
      <alignment horizontal="center" vertical="top"/>
      <protection hidden="1"/>
    </xf>
    <xf numFmtId="49" fontId="5" fillId="0" borderId="7" xfId="0" quotePrefix="1" applyNumberFormat="1" applyFont="1" applyBorder="1" applyAlignment="1" applyProtection="1">
      <alignment horizontal="center" vertical="top"/>
      <protection hidden="1"/>
    </xf>
    <xf numFmtId="0" fontId="7" fillId="3" borderId="8" xfId="2" applyFont="1" applyFill="1" applyBorder="1" applyAlignment="1" applyProtection="1">
      <alignment horizontal="right" vertical="center"/>
      <protection hidden="1"/>
    </xf>
    <xf numFmtId="0" fontId="7" fillId="3" borderId="9" xfId="2" applyFont="1" applyFill="1" applyBorder="1" applyAlignment="1" applyProtection="1">
      <alignment horizontal="right" vertical="center"/>
      <protection hidden="1"/>
    </xf>
    <xf numFmtId="0" fontId="7" fillId="3" borderId="38" xfId="2" applyFont="1" applyFill="1" applyBorder="1" applyAlignment="1" applyProtection="1">
      <alignment horizontal="right" vertical="center"/>
      <protection hidden="1"/>
    </xf>
    <xf numFmtId="0" fontId="36" fillId="0" borderId="0" xfId="2" quotePrefix="1" applyFont="1" applyAlignment="1" applyProtection="1">
      <alignment vertical="top" wrapText="1"/>
      <protection hidden="1"/>
    </xf>
    <xf numFmtId="0" fontId="36" fillId="0" borderId="0" xfId="2" applyFont="1" applyAlignment="1" applyProtection="1">
      <alignment vertical="top" wrapText="1"/>
      <protection hidden="1"/>
    </xf>
    <xf numFmtId="0" fontId="36" fillId="0" borderId="35" xfId="2" applyFont="1" applyBorder="1" applyAlignment="1" applyProtection="1">
      <alignment vertical="top" wrapText="1"/>
      <protection hidden="1"/>
    </xf>
    <xf numFmtId="0" fontId="36" fillId="0" borderId="35" xfId="2" quotePrefix="1" applyFont="1" applyBorder="1" applyAlignment="1" applyProtection="1">
      <alignment vertical="top" wrapText="1"/>
      <protection hidden="1"/>
    </xf>
    <xf numFmtId="0" fontId="0" fillId="3" borderId="0" xfId="2" applyFont="1" applyFill="1" applyAlignment="1" applyProtection="1">
      <alignment vertical="top" wrapText="1"/>
      <protection hidden="1"/>
    </xf>
    <xf numFmtId="0" fontId="0" fillId="3" borderId="3" xfId="2" applyFont="1" applyFill="1" applyBorder="1" applyAlignment="1" applyProtection="1">
      <alignment vertical="top"/>
      <protection hidden="1"/>
    </xf>
    <xf numFmtId="0" fontId="0" fillId="0" borderId="3" xfId="0" applyBorder="1" applyAlignment="1">
      <alignment vertical="top"/>
    </xf>
    <xf numFmtId="0" fontId="0" fillId="3" borderId="49" xfId="2" applyFont="1" applyFill="1" applyBorder="1" applyAlignment="1" applyProtection="1">
      <alignment vertical="top"/>
      <protection hidden="1"/>
    </xf>
    <xf numFmtId="0" fontId="0" fillId="3" borderId="3" xfId="2" applyFont="1" applyFill="1" applyBorder="1" applyAlignment="1" applyProtection="1">
      <alignment vertical="top" wrapText="1"/>
      <protection hidden="1"/>
    </xf>
    <xf numFmtId="0" fontId="36" fillId="0" borderId="46" xfId="2" quotePrefix="1" applyFont="1" applyBorder="1" applyAlignment="1" applyProtection="1">
      <alignment vertical="top" wrapText="1"/>
      <protection hidden="1"/>
    </xf>
    <xf numFmtId="0" fontId="36" fillId="0" borderId="56" xfId="2" quotePrefix="1" applyFont="1" applyBorder="1" applyAlignment="1" applyProtection="1">
      <alignment vertical="top" wrapText="1"/>
      <protection hidden="1"/>
    </xf>
    <xf numFmtId="0" fontId="36" fillId="0" borderId="46" xfId="2" applyFont="1" applyBorder="1" applyAlignment="1" applyProtection="1">
      <alignment vertical="top" wrapText="1"/>
      <protection hidden="1"/>
    </xf>
    <xf numFmtId="0" fontId="36" fillId="0" borderId="56" xfId="2" applyFont="1" applyBorder="1" applyAlignment="1" applyProtection="1">
      <alignment vertical="top" wrapText="1"/>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5" xfId="2" applyFont="1" applyFill="1" applyBorder="1" applyAlignment="1" applyProtection="1">
      <alignment horizontal="right" vertical="center"/>
      <protection hidden="1"/>
    </xf>
    <xf numFmtId="0" fontId="7" fillId="2" borderId="21" xfId="0" applyFont="1" applyFill="1" applyBorder="1" applyAlignment="1" applyProtection="1">
      <alignment horizontal="left" vertical="center"/>
      <protection hidden="1"/>
    </xf>
    <xf numFmtId="0" fontId="7" fillId="2" borderId="44" xfId="0" applyFont="1"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23"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41" xfId="0"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0" fillId="2" borderId="49" xfId="0"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2" xfId="0" applyFont="1" applyFill="1" applyBorder="1" applyAlignment="1" applyProtection="1">
      <alignment horizontal="left" vertical="center"/>
      <protection hidden="1"/>
    </xf>
    <xf numFmtId="0" fontId="7" fillId="2" borderId="49" xfId="0" applyFont="1" applyFill="1" applyBorder="1" applyAlignment="1" applyProtection="1">
      <alignment horizontal="left" vertical="center"/>
      <protection hidden="1"/>
    </xf>
    <xf numFmtId="0" fontId="7" fillId="2" borderId="47" xfId="0" applyFont="1" applyFill="1"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50"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1" xfId="0" applyFont="1" applyBorder="1" applyAlignment="1" applyProtection="1">
      <alignment horizontal="left" vertical="center" wrapText="1"/>
      <protection hidden="1"/>
    </xf>
    <xf numFmtId="0" fontId="7" fillId="0" borderId="42"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7" fillId="0" borderId="22" xfId="0" applyFont="1" applyBorder="1" applyAlignment="1" applyProtection="1">
      <alignment vertical="center"/>
      <protection hidden="1"/>
    </xf>
    <xf numFmtId="0" fontId="0" fillId="0" borderId="2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3" xfId="0" applyBorder="1" applyAlignment="1" applyProtection="1">
      <alignment horizontal="left" vertical="center"/>
      <protection hidden="1"/>
    </xf>
    <xf numFmtId="0" fontId="39" fillId="0" borderId="0" xfId="2" applyFont="1" applyAlignment="1" applyProtection="1">
      <alignment vertical="top" wrapText="1"/>
      <protection hidden="1"/>
    </xf>
    <xf numFmtId="0" fontId="64" fillId="0" borderId="0" xfId="2" quotePrefix="1" applyFont="1" applyAlignment="1" applyProtection="1">
      <alignment vertical="top" wrapText="1"/>
      <protection hidden="1"/>
    </xf>
    <xf numFmtId="0" fontId="7" fillId="2" borderId="23" xfId="0" applyFont="1" applyFill="1" applyBorder="1" applyAlignment="1" applyProtection="1">
      <alignment horizontal="left" vertical="center"/>
      <protection hidden="1"/>
    </xf>
    <xf numFmtId="0" fontId="7" fillId="2" borderId="21" xfId="0" applyFont="1" applyFill="1" applyBorder="1" applyAlignment="1" applyProtection="1">
      <alignment vertical="center"/>
      <protection hidden="1"/>
    </xf>
    <xf numFmtId="0" fontId="7" fillId="2" borderId="44" xfId="0" applyFont="1" applyFill="1" applyBorder="1" applyAlignment="1" applyProtection="1">
      <alignment vertical="center"/>
      <protection hidden="1"/>
    </xf>
    <xf numFmtId="0" fontId="17" fillId="0" borderId="0" xfId="2" applyFont="1" applyAlignment="1" applyProtection="1">
      <alignment vertical="top" wrapText="1"/>
      <protection hidden="1"/>
    </xf>
    <xf numFmtId="0" fontId="7" fillId="9" borderId="0" xfId="0" applyFont="1" applyFill="1" applyAlignment="1" applyProtection="1">
      <alignment vertical="top" wrapText="1"/>
      <protection hidden="1"/>
    </xf>
    <xf numFmtId="0" fontId="50" fillId="9" borderId="0" xfId="0" applyFont="1" applyFill="1" applyAlignment="1" applyProtection="1">
      <alignment horizontal="center" vertical="center" textRotation="90"/>
      <protection hidden="1"/>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20" xfId="0" applyFill="1" applyBorder="1" applyAlignment="1" applyProtection="1">
      <alignment vertical="center" wrapText="1"/>
      <protection locked="0"/>
    </xf>
    <xf numFmtId="0" fontId="0" fillId="4" borderId="21" xfId="0" applyFill="1" applyBorder="1" applyAlignment="1" applyProtection="1">
      <alignment vertical="center" wrapText="1"/>
      <protection locked="0"/>
    </xf>
    <xf numFmtId="0" fontId="0" fillId="4" borderId="44" xfId="0" applyFill="1" applyBorder="1" applyAlignment="1" applyProtection="1">
      <alignment vertical="center" wrapText="1"/>
      <protection locked="0"/>
    </xf>
    <xf numFmtId="0" fontId="20" fillId="0" borderId="41" xfId="0" applyFont="1" applyBorder="1" applyAlignment="1" applyProtection="1">
      <alignment vertical="top"/>
      <protection hidden="1"/>
    </xf>
    <xf numFmtId="0" fontId="20" fillId="0" borderId="0" xfId="0" applyFont="1" applyAlignment="1" applyProtection="1">
      <alignment vertical="top"/>
      <protection hidden="1"/>
    </xf>
    <xf numFmtId="0" fontId="0" fillId="5" borderId="5" xfId="0" applyFill="1" applyBorder="1" applyAlignment="1" applyProtection="1">
      <alignment horizontal="left" vertical="top"/>
      <protection locked="0"/>
    </xf>
    <xf numFmtId="0" fontId="0" fillId="5" borderId="7" xfId="0" applyFill="1" applyBorder="1" applyAlignment="1" applyProtection="1">
      <alignment horizontal="left" vertical="top"/>
      <protection locked="0"/>
    </xf>
    <xf numFmtId="16" fontId="0" fillId="4" borderId="40" xfId="0" quotePrefix="1" applyNumberFormat="1" applyFill="1" applyBorder="1" applyAlignment="1" applyProtection="1">
      <alignment vertical="top"/>
      <protection locked="0"/>
    </xf>
    <xf numFmtId="16" fontId="0" fillId="4" borderId="41" xfId="0" quotePrefix="1" applyNumberFormat="1" applyFill="1" applyBorder="1" applyAlignment="1" applyProtection="1">
      <alignment vertical="top"/>
      <protection locked="0"/>
    </xf>
    <xf numFmtId="16" fontId="0" fillId="4" borderId="20" xfId="0" quotePrefix="1" applyNumberFormat="1" applyFill="1" applyBorder="1" applyAlignment="1" applyProtection="1">
      <alignment horizontal="left" vertical="top"/>
      <protection locked="0"/>
    </xf>
    <xf numFmtId="16" fontId="0" fillId="4" borderId="21" xfId="0" quotePrefix="1" applyNumberFormat="1" applyFill="1" applyBorder="1" applyAlignment="1" applyProtection="1">
      <alignment horizontal="left" vertical="top"/>
      <protection locked="0"/>
    </xf>
    <xf numFmtId="0" fontId="0" fillId="5" borderId="22" xfId="0" applyFill="1" applyBorder="1" applyAlignment="1" applyProtection="1">
      <alignment horizontal="left" vertical="top"/>
      <protection locked="0"/>
    </xf>
    <xf numFmtId="0" fontId="0" fillId="5" borderId="24" xfId="0" applyFill="1" applyBorder="1" applyAlignment="1" applyProtection="1">
      <alignment horizontal="left" vertical="top"/>
      <protection locked="0"/>
    </xf>
    <xf numFmtId="0" fontId="0" fillId="0" borderId="41" xfId="0" quotePrefix="1" applyBorder="1" applyAlignment="1">
      <alignment vertical="top"/>
    </xf>
    <xf numFmtId="0" fontId="0" fillId="0" borderId="42" xfId="0" quotePrefix="1" applyBorder="1" applyAlignment="1">
      <alignment vertical="top"/>
    </xf>
    <xf numFmtId="0" fontId="0" fillId="4" borderId="21" xfId="0" quotePrefix="1" applyFill="1" applyBorder="1" applyAlignment="1" applyProtection="1">
      <alignment vertical="top"/>
      <protection locked="0"/>
    </xf>
    <xf numFmtId="0" fontId="0" fillId="4" borderId="44" xfId="0" quotePrefix="1" applyFill="1" applyBorder="1" applyAlignment="1" applyProtection="1">
      <alignment vertical="top"/>
      <protection locked="0"/>
    </xf>
    <xf numFmtId="0" fontId="51" fillId="11" borderId="4" xfId="0" applyFont="1" applyFill="1" applyBorder="1" applyAlignment="1" applyProtection="1">
      <alignment horizontal="center" vertical="center" textRotation="90"/>
      <protection hidden="1"/>
    </xf>
    <xf numFmtId="0" fontId="51" fillId="11" borderId="13" xfId="0" applyFont="1" applyFill="1" applyBorder="1" applyAlignment="1" applyProtection="1">
      <alignment horizontal="center" vertical="center" textRotation="90"/>
      <protection hidden="1"/>
    </xf>
    <xf numFmtId="0" fontId="0" fillId="0" borderId="52" xfId="0" applyBorder="1" applyAlignment="1" applyProtection="1">
      <alignment vertical="top"/>
      <protection hidden="1"/>
    </xf>
    <xf numFmtId="0" fontId="0" fillId="0" borderId="46" xfId="0" applyBorder="1" applyAlignment="1" applyProtection="1">
      <alignment vertical="top"/>
      <protection hidden="1"/>
    </xf>
    <xf numFmtId="0" fontId="0" fillId="0" borderId="0" xfId="0" applyAlignment="1" applyProtection="1">
      <alignment vertical="top"/>
      <protection hidden="1"/>
    </xf>
    <xf numFmtId="0" fontId="7" fillId="0" borderId="49" xfId="0" applyFont="1" applyBorder="1" applyAlignment="1" applyProtection="1">
      <alignment vertical="center"/>
      <protection hidden="1"/>
    </xf>
    <xf numFmtId="0" fontId="7" fillId="0" borderId="47"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6" xfId="0" applyFont="1" applyFill="1" applyBorder="1" applyAlignment="1" applyProtection="1">
      <alignment horizontal="left" vertical="top" wrapText="1"/>
      <protection locked="0"/>
    </xf>
    <xf numFmtId="0" fontId="8" fillId="6" borderId="0" xfId="0" applyFont="1" applyFill="1" applyAlignment="1" applyProtection="1">
      <alignment vertical="top" wrapText="1"/>
      <protection locked="0"/>
    </xf>
    <xf numFmtId="0" fontId="8" fillId="4" borderId="46" xfId="0" applyFont="1" applyFill="1" applyBorder="1" applyAlignment="1" applyProtection="1">
      <alignment vertical="top" wrapText="1"/>
      <protection locked="0"/>
    </xf>
    <xf numFmtId="0" fontId="8" fillId="4" borderId="53" xfId="0" applyFont="1" applyFill="1" applyBorder="1" applyAlignment="1" applyProtection="1">
      <alignment vertical="top" wrapText="1"/>
      <protection locked="0"/>
    </xf>
    <xf numFmtId="0" fontId="38" fillId="8" borderId="46" xfId="0" applyFont="1" applyFill="1" applyBorder="1" applyAlignment="1" applyProtection="1">
      <alignment vertical="top" wrapText="1"/>
      <protection hidden="1"/>
    </xf>
    <xf numFmtId="167" fontId="0" fillId="0" borderId="40" xfId="0" applyNumberFormat="1" applyBorder="1" applyAlignment="1" applyProtection="1">
      <alignment horizontal="right" vertical="top"/>
      <protection hidden="1"/>
    </xf>
    <xf numFmtId="167" fontId="0" fillId="0" borderId="42" xfId="0" applyNumberFormat="1" applyBorder="1" applyAlignment="1" applyProtection="1">
      <alignment horizontal="right" vertical="top"/>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167" fontId="0" fillId="0" borderId="22" xfId="0" applyNumberFormat="1" applyBorder="1" applyAlignment="1" applyProtection="1">
      <alignment horizontal="right" vertical="top"/>
      <protection hidden="1"/>
    </xf>
    <xf numFmtId="167" fontId="0" fillId="0" borderId="24" xfId="0" applyNumberFormat="1" applyBorder="1" applyAlignment="1" applyProtection="1">
      <alignment horizontal="right" vertical="top"/>
      <protection hidden="1"/>
    </xf>
    <xf numFmtId="167" fontId="0" fillId="0" borderId="77" xfId="0" applyNumberFormat="1" applyBorder="1" applyAlignment="1" applyProtection="1">
      <alignment horizontal="right" vertical="top"/>
      <protection hidden="1"/>
    </xf>
    <xf numFmtId="167" fontId="0" fillId="0" borderId="79" xfId="0" applyNumberFormat="1" applyBorder="1" applyAlignment="1" applyProtection="1">
      <alignment horizontal="right" vertical="top"/>
      <protection hidden="1"/>
    </xf>
    <xf numFmtId="167" fontId="0" fillId="0" borderId="78" xfId="0" applyNumberFormat="1" applyBorder="1" applyAlignment="1" applyProtection="1">
      <alignment horizontal="right" vertical="top"/>
      <protection hidden="1"/>
    </xf>
    <xf numFmtId="167" fontId="0" fillId="0" borderId="80" xfId="0" applyNumberFormat="1" applyBorder="1" applyAlignment="1" applyProtection="1">
      <alignment horizontal="right" vertical="top"/>
      <protection hidden="1"/>
    </xf>
    <xf numFmtId="167" fontId="7" fillId="8" borderId="34" xfId="0" applyNumberFormat="1" applyFont="1" applyFill="1" applyBorder="1" applyAlignment="1" applyProtection="1">
      <alignment horizontal="right" vertical="center"/>
      <protection hidden="1"/>
    </xf>
    <xf numFmtId="167" fontId="7" fillId="8" borderId="35"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1" xfId="0" applyFont="1" applyBorder="1" applyAlignment="1" applyProtection="1">
      <alignment vertical="center"/>
      <protection hidden="1"/>
    </xf>
    <xf numFmtId="0" fontId="7" fillId="0" borderId="44"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1" xfId="0" applyFont="1" applyBorder="1" applyAlignment="1" applyProtection="1">
      <alignment vertical="center"/>
      <protection hidden="1"/>
    </xf>
    <xf numFmtId="0" fontId="7" fillId="0" borderId="42" xfId="0" applyFont="1" applyBorder="1" applyAlignment="1" applyProtection="1">
      <alignment vertical="center"/>
      <protection hidden="1"/>
    </xf>
    <xf numFmtId="0" fontId="9" fillId="0" borderId="40" xfId="0" applyFont="1" applyBorder="1" applyAlignment="1" applyProtection="1">
      <alignment vertical="center"/>
      <protection hidden="1"/>
    </xf>
    <xf numFmtId="0" fontId="9" fillId="0" borderId="41" xfId="0" applyFont="1" applyBorder="1" applyAlignment="1" applyProtection="1">
      <alignment vertical="center"/>
      <protection hidden="1"/>
    </xf>
    <xf numFmtId="0" fontId="9" fillId="0" borderId="42" xfId="0" applyFont="1" applyBorder="1" applyAlignment="1" applyProtection="1">
      <alignment vertical="center"/>
      <protection hidden="1"/>
    </xf>
    <xf numFmtId="0" fontId="38" fillId="0" borderId="9" xfId="0" applyFont="1" applyBorder="1"/>
    <xf numFmtId="0" fontId="9" fillId="3" borderId="2" xfId="0" applyFont="1" applyFill="1" applyBorder="1" applyAlignment="1" applyProtection="1">
      <alignment horizontal="left" vertical="center" wrapText="1"/>
      <protection hidden="1"/>
    </xf>
    <xf numFmtId="0" fontId="9" fillId="3" borderId="3"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left" vertical="center" wrapText="1"/>
      <protection hidden="1"/>
    </xf>
    <xf numFmtId="0" fontId="5" fillId="0" borderId="40" xfId="0" applyFont="1" applyBorder="1" applyAlignment="1" applyProtection="1">
      <alignment vertical="center"/>
      <protection hidden="1"/>
    </xf>
    <xf numFmtId="0" fontId="5" fillId="0" borderId="41" xfId="0" applyFont="1" applyBorder="1" applyAlignment="1" applyProtection="1">
      <alignment vertical="center"/>
      <protection hidden="1"/>
    </xf>
    <xf numFmtId="0" fontId="5" fillId="0" borderId="42" xfId="0" applyFont="1" applyBorder="1" applyAlignment="1" applyProtection="1">
      <alignment vertical="center"/>
      <protection hidden="1"/>
    </xf>
    <xf numFmtId="0" fontId="5" fillId="0" borderId="20" xfId="0" applyFont="1" applyBorder="1" applyAlignment="1" applyProtection="1">
      <alignment vertical="center"/>
      <protection hidden="1"/>
    </xf>
    <xf numFmtId="0" fontId="5" fillId="0" borderId="21" xfId="0" applyFont="1" applyBorder="1" applyAlignment="1" applyProtection="1">
      <alignment vertical="center"/>
      <protection hidden="1"/>
    </xf>
    <xf numFmtId="0" fontId="5" fillId="0" borderId="44" xfId="0" applyFont="1" applyBorder="1" applyAlignment="1" applyProtection="1">
      <alignment vertical="center"/>
      <protection hidden="1"/>
    </xf>
    <xf numFmtId="0" fontId="9" fillId="0" borderId="22" xfId="0" applyFont="1" applyBorder="1" applyAlignment="1" applyProtection="1">
      <alignment vertical="center"/>
      <protection hidden="1"/>
    </xf>
    <xf numFmtId="0" fontId="9" fillId="0" borderId="23" xfId="0" applyFont="1" applyBorder="1" applyAlignment="1" applyProtection="1">
      <alignment vertical="center"/>
      <protection hidden="1"/>
    </xf>
    <xf numFmtId="0" fontId="9" fillId="0" borderId="24" xfId="0" applyFont="1" applyBorder="1" applyAlignment="1" applyProtection="1">
      <alignment vertical="center"/>
      <protection hidden="1"/>
    </xf>
    <xf numFmtId="0" fontId="50" fillId="8" borderId="0" xfId="0" applyFont="1" applyFill="1" applyAlignment="1" applyProtection="1">
      <alignment horizontal="center" vertical="center" textRotation="90" wrapText="1"/>
      <protection hidden="1"/>
    </xf>
    <xf numFmtId="0" fontId="9" fillId="4" borderId="43" xfId="0" applyFont="1" applyFill="1" applyBorder="1" applyAlignment="1" applyProtection="1">
      <alignment vertical="center"/>
      <protection locked="0"/>
    </xf>
    <xf numFmtId="0" fontId="9" fillId="4" borderId="60" xfId="0" applyFont="1" applyFill="1" applyBorder="1" applyAlignment="1" applyProtection="1">
      <alignment vertical="center"/>
      <protection locked="0"/>
    </xf>
    <xf numFmtId="0" fontId="9" fillId="4" borderId="15" xfId="0" applyFont="1" applyFill="1" applyBorder="1" applyAlignment="1" applyProtection="1">
      <alignment vertical="center"/>
      <protection locked="0"/>
    </xf>
    <xf numFmtId="0" fontId="9" fillId="4" borderId="70" xfId="0" applyFont="1" applyFill="1" applyBorder="1" applyAlignment="1" applyProtection="1">
      <alignment vertical="center"/>
      <protection locked="0"/>
    </xf>
    <xf numFmtId="0" fontId="9" fillId="4" borderId="20" xfId="0" applyFont="1" applyFill="1" applyBorder="1" applyAlignment="1" applyProtection="1">
      <alignment vertical="center"/>
      <protection locked="0"/>
    </xf>
    <xf numFmtId="0" fontId="9" fillId="4" borderId="21" xfId="0" applyFont="1" applyFill="1" applyBorder="1" applyAlignment="1" applyProtection="1">
      <alignment vertical="center"/>
      <protection locked="0"/>
    </xf>
    <xf numFmtId="0" fontId="9" fillId="4" borderId="44"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9" fillId="3" borderId="2" xfId="0" applyFont="1" applyFill="1"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9" fillId="4" borderId="39" xfId="0" applyFont="1" applyFill="1" applyBorder="1" applyAlignment="1" applyProtection="1">
      <alignment vertical="center"/>
      <protection locked="0"/>
    </xf>
    <xf numFmtId="0" fontId="9" fillId="4" borderId="45" xfId="0" applyFont="1" applyFill="1" applyBorder="1" applyAlignment="1" applyProtection="1">
      <alignment vertical="center"/>
      <protection locked="0"/>
    </xf>
    <xf numFmtId="0" fontId="7" fillId="0" borderId="8" xfId="0" applyFont="1" applyBorder="1" applyAlignment="1">
      <alignment horizontal="left"/>
    </xf>
    <xf numFmtId="0" fontId="7" fillId="0" borderId="9" xfId="0" applyFont="1" applyBorder="1" applyAlignment="1">
      <alignment horizontal="left"/>
    </xf>
    <xf numFmtId="0" fontId="7" fillId="4" borderId="21" xfId="0" applyFont="1" applyFill="1" applyBorder="1" applyAlignment="1" applyProtection="1">
      <alignment horizontal="left" vertical="center" indent="2"/>
      <protection locked="0"/>
    </xf>
    <xf numFmtId="0" fontId="7" fillId="4" borderId="44" xfId="0" applyFont="1" applyFill="1" applyBorder="1" applyAlignment="1" applyProtection="1">
      <alignment horizontal="left" vertical="center" indent="2"/>
      <protection locked="0"/>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cellXfs>
  <cellStyles count="7">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519">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dxf>
    <dxf>
      <font>
        <strike/>
        <color rgb="FFC00000"/>
      </font>
      <fill>
        <patternFill>
          <bgColor theme="0"/>
        </patternFill>
      </fill>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ont>
        <strike val="0"/>
        <color theme="1"/>
      </font>
      <fill>
        <patternFill>
          <bgColor theme="4" tint="0.79998168889431442"/>
        </patternFill>
      </fill>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theme="0"/>
      </font>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rgb="FFC0000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b/>
        <i val="0"/>
      </font>
    </dxf>
    <dxf>
      <font>
        <strike/>
        <color rgb="FFC00000"/>
      </font>
      <fill>
        <patternFill>
          <bgColor theme="0"/>
        </patternFill>
      </fill>
    </dxf>
    <dxf>
      <font>
        <b val="0"/>
        <i/>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24994659260841701"/>
      </font>
      <fill>
        <patternFill>
          <bgColor theme="0"/>
        </patternFill>
      </fill>
    </dxf>
    <dxf>
      <font>
        <strike/>
        <color theme="0" tint="-0.24994659260841701"/>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b/>
        <i val="0"/>
      </font>
    </dxf>
    <dxf>
      <font>
        <b/>
        <i val="0"/>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b/>
        <i val="0"/>
      </font>
    </dxf>
    <dxf>
      <font>
        <b/>
        <i val="0"/>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theme="0" tint="-0.14996795556505021"/>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0"/>
        </patternFill>
      </fill>
      <border>
        <left style="thin">
          <color auto="1"/>
        </left>
        <right style="thin">
          <color auto="1"/>
        </right>
        <top style="thin">
          <color auto="1"/>
        </top>
        <bottom style="thin">
          <color auto="1"/>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
      <font>
        <strike/>
        <color theme="0" tint="-0.14996795556505021"/>
      </font>
    </dxf>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checked="Checked" fmlaLink="$K$12" lockText="1" noThreeD="1"/>
</file>

<file path=xl/ctrlProps/ctrlProp100.xml><?xml version="1.0" encoding="utf-8"?>
<formControlPr xmlns="http://schemas.microsoft.com/office/spreadsheetml/2009/9/main" objectType="CheckBox" fmlaLink="$M$29" lockText="1" noThreeD="1"/>
</file>

<file path=xl/ctrlProps/ctrlProp101.xml><?xml version="1.0" encoding="utf-8"?>
<formControlPr xmlns="http://schemas.microsoft.com/office/spreadsheetml/2009/9/main" objectType="CheckBox" fmlaLink="$M$32" lockText="1" noThreeD="1"/>
</file>

<file path=xl/ctrlProps/ctrlProp102.xml><?xml version="1.0" encoding="utf-8"?>
<formControlPr xmlns="http://schemas.microsoft.com/office/spreadsheetml/2009/9/main" objectType="CheckBox" fmlaLink="$M$35" lockText="1" noThreeD="1"/>
</file>

<file path=xl/ctrlProps/ctrlProp103.xml><?xml version="1.0" encoding="utf-8"?>
<formControlPr xmlns="http://schemas.microsoft.com/office/spreadsheetml/2009/9/main" objectType="CheckBox" fmlaLink="$M$38" lockText="1" noThreeD="1"/>
</file>

<file path=xl/ctrlProps/ctrlProp104.xml><?xml version="1.0" encoding="utf-8"?>
<formControlPr xmlns="http://schemas.microsoft.com/office/spreadsheetml/2009/9/main" objectType="CheckBox" fmlaLink="$M$65" lockText="1" noThreeD="1"/>
</file>

<file path=xl/ctrlProps/ctrlProp105.xml><?xml version="1.0" encoding="utf-8"?>
<formControlPr xmlns="http://schemas.microsoft.com/office/spreadsheetml/2009/9/main" objectType="CheckBox" fmlaLink="$M$71" lockText="1" noThreeD="1"/>
</file>

<file path=xl/ctrlProps/ctrlProp106.xml><?xml version="1.0" encoding="utf-8"?>
<formControlPr xmlns="http://schemas.microsoft.com/office/spreadsheetml/2009/9/main" objectType="CheckBox" fmlaLink="$M$92" lockText="1" noThreeD="1"/>
</file>

<file path=xl/ctrlProps/ctrlProp107.xml><?xml version="1.0" encoding="utf-8"?>
<formControlPr xmlns="http://schemas.microsoft.com/office/spreadsheetml/2009/9/main" objectType="CheckBox" fmlaLink="$M$95" lockText="1" noThreeD="1"/>
</file>

<file path=xl/ctrlProps/ctrlProp108.xml><?xml version="1.0" encoding="utf-8"?>
<formControlPr xmlns="http://schemas.microsoft.com/office/spreadsheetml/2009/9/main" objectType="CheckBox" fmlaLink="$M$110" lockText="1" noThreeD="1"/>
</file>

<file path=xl/ctrlProps/ctrlProp109.xml><?xml version="1.0" encoding="utf-8"?>
<formControlPr xmlns="http://schemas.microsoft.com/office/spreadsheetml/2009/9/main" objectType="CheckBox" fmlaLink="$M$113" lockText="1" noThreeD="1"/>
</file>

<file path=xl/ctrlProps/ctrlProp11.xml><?xml version="1.0" encoding="utf-8"?>
<formControlPr xmlns="http://schemas.microsoft.com/office/spreadsheetml/2009/9/main" objectType="CheckBox" fmlaLink="$K$15" lockText="1" noThreeD="1"/>
</file>

<file path=xl/ctrlProps/ctrlProp110.xml><?xml version="1.0" encoding="utf-8"?>
<formControlPr xmlns="http://schemas.microsoft.com/office/spreadsheetml/2009/9/main" objectType="CheckBox" fmlaLink="$M$143" lockText="1" noThreeD="1"/>
</file>

<file path=xl/ctrlProps/ctrlProp111.xml><?xml version="1.0" encoding="utf-8"?>
<formControlPr xmlns="http://schemas.microsoft.com/office/spreadsheetml/2009/9/main" objectType="CheckBox" fmlaLink="$M$146" lockText="1" noThreeD="1"/>
</file>

<file path=xl/ctrlProps/ctrlProp112.xml><?xml version="1.0" encoding="utf-8"?>
<formControlPr xmlns="http://schemas.microsoft.com/office/spreadsheetml/2009/9/main" objectType="CheckBox" fmlaLink="$M$149" lockText="1" noThreeD="1"/>
</file>

<file path=xl/ctrlProps/ctrlProp113.xml><?xml version="1.0" encoding="utf-8"?>
<formControlPr xmlns="http://schemas.microsoft.com/office/spreadsheetml/2009/9/main" objectType="CheckBox" fmlaLink="$M$158" lockText="1" noThreeD="1"/>
</file>

<file path=xl/ctrlProps/ctrlProp114.xml><?xml version="1.0" encoding="utf-8"?>
<formControlPr xmlns="http://schemas.microsoft.com/office/spreadsheetml/2009/9/main" objectType="CheckBox" fmlaLink="$M$152" lockText="1" noThreeD="1"/>
</file>

<file path=xl/ctrlProps/ctrlProp115.xml><?xml version="1.0" encoding="utf-8"?>
<formControlPr xmlns="http://schemas.microsoft.com/office/spreadsheetml/2009/9/main" objectType="CheckBox" fmlaLink="$M$128" lockText="1" noThreeD="1"/>
</file>

<file path=xl/ctrlProps/ctrlProp116.xml><?xml version="1.0" encoding="utf-8"?>
<formControlPr xmlns="http://schemas.microsoft.com/office/spreadsheetml/2009/9/main" objectType="CheckBox" fmlaLink="$M$131" lockText="1" noThreeD="1"/>
</file>

<file path=xl/ctrlProps/ctrlProp117.xml><?xml version="1.0" encoding="utf-8"?>
<formControlPr xmlns="http://schemas.microsoft.com/office/spreadsheetml/2009/9/main" objectType="CheckBox" fmlaLink="$M$134" lockText="1" noThreeD="1"/>
</file>

<file path=xl/ctrlProps/ctrlProp118.xml><?xml version="1.0" encoding="utf-8"?>
<formControlPr xmlns="http://schemas.microsoft.com/office/spreadsheetml/2009/9/main" objectType="CheckBox" fmlaLink="$L$56" lockText="1" noThreeD="1"/>
</file>

<file path=xl/ctrlProps/ctrlProp119.xml><?xml version="1.0" encoding="utf-8"?>
<formControlPr xmlns="http://schemas.microsoft.com/office/spreadsheetml/2009/9/main" objectType="CheckBox" fmlaLink="$L$27" lockText="1" noThreeD="1"/>
</file>

<file path=xl/ctrlProps/ctrlProp12.xml><?xml version="1.0" encoding="utf-8"?>
<formControlPr xmlns="http://schemas.microsoft.com/office/spreadsheetml/2009/9/main" objectType="CheckBox" fmlaLink="$L$19" lockText="1" noThreeD="1"/>
</file>

<file path=xl/ctrlProps/ctrlProp120.xml><?xml version="1.0" encoding="utf-8"?>
<formControlPr xmlns="http://schemas.microsoft.com/office/spreadsheetml/2009/9/main" objectType="CheckBox" fmlaLink="L32" lockText="1" noThreeD="1"/>
</file>

<file path=xl/ctrlProps/ctrlProp121.xml><?xml version="1.0" encoding="utf-8"?>
<formControlPr xmlns="http://schemas.microsoft.com/office/spreadsheetml/2009/9/main" objectType="CheckBox" checked="Checked" fmlaLink="L72" lockText="1" noThreeD="1"/>
</file>

<file path=xl/ctrlProps/ctrlProp122.xml><?xml version="1.0" encoding="utf-8"?>
<formControlPr xmlns="http://schemas.microsoft.com/office/spreadsheetml/2009/9/main" objectType="CheckBox" checked="Checked" fmlaLink="L73" lockText="1" noThreeD="1"/>
</file>

<file path=xl/ctrlProps/ctrlProp123.xml><?xml version="1.0" encoding="utf-8"?>
<formControlPr xmlns="http://schemas.microsoft.com/office/spreadsheetml/2009/9/main" objectType="CheckBox" checked="Checked" fmlaLink="L74" lockText="1" noThreeD="1"/>
</file>

<file path=xl/ctrlProps/ctrlProp124.xml><?xml version="1.0" encoding="utf-8"?>
<formControlPr xmlns="http://schemas.microsoft.com/office/spreadsheetml/2009/9/main" objectType="CheckBox" fmlaLink="L61" lockText="1" noThreeD="1"/>
</file>

<file path=xl/ctrlProps/ctrlProp125.xml><?xml version="1.0" encoding="utf-8"?>
<formControlPr xmlns="http://schemas.microsoft.com/office/spreadsheetml/2009/9/main" objectType="CheckBox" fmlaLink="L62" lockText="1" noThreeD="1"/>
</file>

<file path=xl/ctrlProps/ctrlProp126.xml><?xml version="1.0" encoding="utf-8"?>
<formControlPr xmlns="http://schemas.microsoft.com/office/spreadsheetml/2009/9/main" objectType="CheckBox" fmlaLink="$L$58" lockText="1" noThreeD="1"/>
</file>

<file path=xl/ctrlProps/ctrlProp127.xml><?xml version="1.0" encoding="utf-8"?>
<formControlPr xmlns="http://schemas.microsoft.com/office/spreadsheetml/2009/9/main" objectType="CheckBox" checked="Checked" fmlaLink="$L$17" lockText="1" noThreeD="1"/>
</file>

<file path=xl/ctrlProps/ctrlProp128.xml><?xml version="1.0" encoding="utf-8"?>
<formControlPr xmlns="http://schemas.microsoft.com/office/spreadsheetml/2009/9/main" objectType="CheckBox" fmlaLink="$L$89" lockText="1" noThreeD="1"/>
</file>

<file path=xl/ctrlProps/ctrlProp129.xml><?xml version="1.0" encoding="utf-8"?>
<formControlPr xmlns="http://schemas.microsoft.com/office/spreadsheetml/2009/9/main" objectType="CheckBox" fmlaLink="$L$18" lockText="1" noThreeD="1"/>
</file>

<file path=xl/ctrlProps/ctrlProp13.xml><?xml version="1.0" encoding="utf-8"?>
<formControlPr xmlns="http://schemas.microsoft.com/office/spreadsheetml/2009/9/main" objectType="CheckBox" fmlaLink="$L$30" lockText="1" noThreeD="1"/>
</file>

<file path=xl/ctrlProps/ctrlProp130.xml><?xml version="1.0" encoding="utf-8"?>
<formControlPr xmlns="http://schemas.microsoft.com/office/spreadsheetml/2009/9/main" objectType="CheckBox" checked="Checked" fmlaLink="$L$55" lockText="1" noThreeD="1"/>
</file>

<file path=xl/ctrlProps/ctrlProp131.xml><?xml version="1.0" encoding="utf-8"?>
<formControlPr xmlns="http://schemas.microsoft.com/office/spreadsheetml/2009/9/main" objectType="CheckBox" fmlaLink="L79" lockText="1" noThreeD="1"/>
</file>

<file path=xl/ctrlProps/ctrlProp132.xml><?xml version="1.0" encoding="utf-8"?>
<formControlPr xmlns="http://schemas.microsoft.com/office/spreadsheetml/2009/9/main" objectType="CheckBox" fmlaLink="L78" lockText="1" noThreeD="1"/>
</file>

<file path=xl/ctrlProps/ctrlProp133.xml><?xml version="1.0" encoding="utf-8"?>
<formControlPr xmlns="http://schemas.microsoft.com/office/spreadsheetml/2009/9/main" objectType="CheckBox" fmlaLink="L59" lockText="1" noThreeD="1"/>
</file>

<file path=xl/ctrlProps/ctrlProp134.xml><?xml version="1.0" encoding="utf-8"?>
<formControlPr xmlns="http://schemas.microsoft.com/office/spreadsheetml/2009/9/main" objectType="CheckBox" fmlaLink="$L$57" lockText="1" noThreeD="1"/>
</file>

<file path=xl/ctrlProps/ctrlProp135.xml><?xml version="1.0" encoding="utf-8"?>
<formControlPr xmlns="http://schemas.microsoft.com/office/spreadsheetml/2009/9/main" objectType="CheckBox" fmlaLink="$K$19" lockText="1" noThreeD="1"/>
</file>

<file path=xl/ctrlProps/ctrlProp136.xml><?xml version="1.0" encoding="utf-8"?>
<formControlPr xmlns="http://schemas.microsoft.com/office/spreadsheetml/2009/9/main" objectType="CheckBox" fmlaLink="$K$20" lockText="1" noThreeD="1"/>
</file>

<file path=xl/ctrlProps/ctrlProp137.xml><?xml version="1.0" encoding="utf-8"?>
<formControlPr xmlns="http://schemas.microsoft.com/office/spreadsheetml/2009/9/main" objectType="CheckBox" fmlaLink="$K$21" lockText="1" noThreeD="1"/>
</file>

<file path=xl/ctrlProps/ctrlProp138.xml><?xml version="1.0" encoding="utf-8"?>
<formControlPr xmlns="http://schemas.microsoft.com/office/spreadsheetml/2009/9/main" objectType="CheckBox" fmlaLink="$K$22" lockText="1" noThreeD="1"/>
</file>

<file path=xl/ctrlProps/ctrlProp139.xml><?xml version="1.0" encoding="utf-8"?>
<formControlPr xmlns="http://schemas.microsoft.com/office/spreadsheetml/2009/9/main" objectType="CheckBox" fmlaLink="$K$24" lockText="1" noThreeD="1"/>
</file>

<file path=xl/ctrlProps/ctrlProp14.xml><?xml version="1.0" encoding="utf-8"?>
<formControlPr xmlns="http://schemas.microsoft.com/office/spreadsheetml/2009/9/main" objectType="CheckBox" fmlaLink="$L$42" lockText="1" noThreeD="1"/>
</file>

<file path=xl/ctrlProps/ctrlProp140.xml><?xml version="1.0" encoding="utf-8"?>
<formControlPr xmlns="http://schemas.microsoft.com/office/spreadsheetml/2009/9/main" objectType="CheckBox" fmlaLink="$K$25" lockText="1" noThreeD="1"/>
</file>

<file path=xl/ctrlProps/ctrlProp141.xml><?xml version="1.0" encoding="utf-8"?>
<formControlPr xmlns="http://schemas.microsoft.com/office/spreadsheetml/2009/9/main" objectType="CheckBox" fmlaLink="$K$27" lockText="1" noThreeD="1"/>
</file>

<file path=xl/ctrlProps/ctrlProp142.xml><?xml version="1.0" encoding="utf-8"?>
<formControlPr xmlns="http://schemas.microsoft.com/office/spreadsheetml/2009/9/main" objectType="CheckBox" fmlaLink="$K$28" lockText="1" noThreeD="1"/>
</file>

<file path=xl/ctrlProps/ctrlProp143.xml><?xml version="1.0" encoding="utf-8"?>
<formControlPr xmlns="http://schemas.microsoft.com/office/spreadsheetml/2009/9/main" objectType="CheckBox" fmlaLink="$K$30" lockText="1" noThreeD="1"/>
</file>

<file path=xl/ctrlProps/ctrlProp144.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L$45" lockText="1" noThreeD="1"/>
</file>

<file path=xl/ctrlProps/ctrlProp16.xml><?xml version="1.0" encoding="utf-8"?>
<formControlPr xmlns="http://schemas.microsoft.com/office/spreadsheetml/2009/9/main" objectType="CheckBox" fmlaLink="$L$51" lockText="1" noThreeD="1"/>
</file>

<file path=xl/ctrlProps/ctrlProp17.xml><?xml version="1.0" encoding="utf-8"?>
<formControlPr xmlns="http://schemas.microsoft.com/office/spreadsheetml/2009/9/main" objectType="CheckBox" fmlaLink="$L$69" lockText="1" noThreeD="1"/>
</file>

<file path=xl/ctrlProps/ctrlProp18.xml><?xml version="1.0" encoding="utf-8"?>
<formControlPr xmlns="http://schemas.microsoft.com/office/spreadsheetml/2009/9/main" objectType="CheckBox" fmlaLink="$L$83" lockText="1" noThreeD="1"/>
</file>

<file path=xl/ctrlProps/ctrlProp19.xml><?xml version="1.0" encoding="utf-8"?>
<formControlPr xmlns="http://schemas.microsoft.com/office/spreadsheetml/2009/9/main" objectType="CheckBox" fmlaLink="$L$88"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6" lockText="1" noThreeD="1"/>
</file>

<file path=xl/ctrlProps/ctrlProp21.xml><?xml version="1.0" encoding="utf-8"?>
<formControlPr xmlns="http://schemas.microsoft.com/office/spreadsheetml/2009/9/main" objectType="CheckBox" fmlaLink="$L$109" lockText="1" noThreeD="1"/>
</file>

<file path=xl/ctrlProps/ctrlProp22.xml><?xml version="1.0" encoding="utf-8"?>
<formControlPr xmlns="http://schemas.microsoft.com/office/spreadsheetml/2009/9/main" objectType="CheckBox" fmlaLink="$L$114" lockText="1" noThreeD="1"/>
</file>

<file path=xl/ctrlProps/ctrlProp23.xml><?xml version="1.0" encoding="utf-8"?>
<formControlPr xmlns="http://schemas.microsoft.com/office/spreadsheetml/2009/9/main" objectType="CheckBox" fmlaLink="$L$117" lockText="1" noThreeD="1"/>
</file>

<file path=xl/ctrlProps/ctrlProp24.xml><?xml version="1.0" encoding="utf-8"?>
<formControlPr xmlns="http://schemas.microsoft.com/office/spreadsheetml/2009/9/main" objectType="CheckBox" fmlaLink="$L$142" lockText="1" noThreeD="1"/>
</file>

<file path=xl/ctrlProps/ctrlProp25.xml><?xml version="1.0" encoding="utf-8"?>
<formControlPr xmlns="http://schemas.microsoft.com/office/spreadsheetml/2009/9/main" objectType="CheckBox" fmlaLink="$L$145" lockText="1" noThreeD="1"/>
</file>

<file path=xl/ctrlProps/ctrlProp26.xml><?xml version="1.0" encoding="utf-8"?>
<formControlPr xmlns="http://schemas.microsoft.com/office/spreadsheetml/2009/9/main" objectType="CheckBox" fmlaLink="$L$154" lockText="1" noThreeD="1"/>
</file>

<file path=xl/ctrlProps/ctrlProp27.xml><?xml version="1.0" encoding="utf-8"?>
<formControlPr xmlns="http://schemas.microsoft.com/office/spreadsheetml/2009/9/main" objectType="CheckBox" fmlaLink="$L$163" lockText="1" noThreeD="1"/>
</file>

<file path=xl/ctrlProps/ctrlProp28.xml><?xml version="1.0" encoding="utf-8"?>
<formControlPr xmlns="http://schemas.microsoft.com/office/spreadsheetml/2009/9/main" objectType="CheckBox" fmlaLink="$L$169" lockText="1" noThreeD="1"/>
</file>

<file path=xl/ctrlProps/ctrlProp29.xml><?xml version="1.0" encoding="utf-8"?>
<formControlPr xmlns="http://schemas.microsoft.com/office/spreadsheetml/2009/9/main" objectType="CheckBox" fmlaLink="$L$123"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fmlaLink="$L$79" lockText="1" noThreeD="1"/>
</file>

<file path=xl/ctrlProps/ctrlProp31.xml><?xml version="1.0" encoding="utf-8"?>
<formControlPr xmlns="http://schemas.microsoft.com/office/spreadsheetml/2009/9/main" objectType="CheckBox" fmlaLink="$L$13" lockText="1" noThreeD="1"/>
</file>

<file path=xl/ctrlProps/ctrlProp32.xml><?xml version="1.0" encoding="utf-8"?>
<formControlPr xmlns="http://schemas.microsoft.com/office/spreadsheetml/2009/9/main" objectType="CheckBox" checked="Checked" fmlaLink="$L$14" lockText="1" noThreeD="1"/>
</file>

<file path=xl/ctrlProps/ctrlProp33.xml><?xml version="1.0" encoding="utf-8"?>
<formControlPr xmlns="http://schemas.microsoft.com/office/spreadsheetml/2009/9/main" objectType="CheckBox" fmlaLink="$L$33" lockText="1" noThreeD="1"/>
</file>

<file path=xl/ctrlProps/ctrlProp34.xml><?xml version="1.0" encoding="utf-8"?>
<formControlPr xmlns="http://schemas.microsoft.com/office/spreadsheetml/2009/9/main" objectType="CheckBox" fmlaLink="$L$148" lockText="1" noThreeD="1"/>
</file>

<file path=xl/ctrlProps/ctrlProp35.xml><?xml version="1.0" encoding="utf-8"?>
<formControlPr xmlns="http://schemas.microsoft.com/office/spreadsheetml/2009/9/main" objectType="CheckBox" fmlaLink="$L$151"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L$45" lockText="1" noThreeD="1"/>
</file>

<file path=xl/ctrlProps/ctrlProp38.xml><?xml version="1.0" encoding="utf-8"?>
<formControlPr xmlns="http://schemas.microsoft.com/office/spreadsheetml/2009/9/main" objectType="CheckBox" fmlaLink="$L$39" lockText="1" noThreeD="1"/>
</file>

<file path=xl/ctrlProps/ctrlProp39.xml><?xml version="1.0" encoding="utf-8"?>
<formControlPr xmlns="http://schemas.microsoft.com/office/spreadsheetml/2009/9/main" objectType="CheckBox" fmlaLink="$L$91"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0" lockText="1" noThreeD="1"/>
</file>

<file path=xl/ctrlProps/ctrlProp41.xml><?xml version="1.0" encoding="utf-8"?>
<formControlPr xmlns="http://schemas.microsoft.com/office/spreadsheetml/2009/9/main" objectType="CheckBox" fmlaLink="$L$103" lockText="1" noThreeD="1"/>
</file>

<file path=xl/ctrlProps/ctrlProp42.xml><?xml version="1.0" encoding="utf-8"?>
<formControlPr xmlns="http://schemas.microsoft.com/office/spreadsheetml/2009/9/main" objectType="CheckBox" fmlaLink="$L$157" lockText="1" noThreeD="1"/>
</file>

<file path=xl/ctrlProps/ctrlProp43.xml><?xml version="1.0" encoding="utf-8"?>
<formControlPr xmlns="http://schemas.microsoft.com/office/spreadsheetml/2009/9/main" objectType="CheckBox" fmlaLink="$L$160" lockText="1" noThreeD="1"/>
</file>

<file path=xl/ctrlProps/ctrlProp44.xml><?xml version="1.0" encoding="utf-8"?>
<formControlPr xmlns="http://schemas.microsoft.com/office/spreadsheetml/2009/9/main" objectType="CheckBox" fmlaLink="$L$17" lockText="1" noThreeD="1"/>
</file>

<file path=xl/ctrlProps/ctrlProp45.xml><?xml version="1.0" encoding="utf-8"?>
<formControlPr xmlns="http://schemas.microsoft.com/office/spreadsheetml/2009/9/main" objectType="CheckBox" fmlaLink="$L$28" lockText="1" noThreeD="1"/>
</file>

<file path=xl/ctrlProps/ctrlProp46.xml><?xml version="1.0" encoding="utf-8"?>
<formControlPr xmlns="http://schemas.microsoft.com/office/spreadsheetml/2009/9/main" objectType="CheckBox" fmlaLink="$L$40" lockText="1" noThreeD="1"/>
</file>

<file path=xl/ctrlProps/ctrlProp47.xml><?xml version="1.0" encoding="utf-8"?>
<formControlPr xmlns="http://schemas.microsoft.com/office/spreadsheetml/2009/9/main" objectType="CheckBox" fmlaLink="$L$43" lockText="1" noThreeD="1"/>
</file>

<file path=xl/ctrlProps/ctrlProp48.xml><?xml version="1.0" encoding="utf-8"?>
<formControlPr xmlns="http://schemas.microsoft.com/office/spreadsheetml/2009/9/main" objectType="CheckBox" checked="Checked" fmlaLink="$L$49" lockText="1" noThreeD="1"/>
</file>

<file path=xl/ctrlProps/ctrlProp49.xml><?xml version="1.0" encoding="utf-8"?>
<formControlPr xmlns="http://schemas.microsoft.com/office/spreadsheetml/2009/9/main" objectType="CheckBox" checked="Checked" fmlaLink="$L$67" lockText="1" noThreeD="1"/>
</file>

<file path=xl/ctrlProps/ctrlProp5.xml><?xml version="1.0" encoding="utf-8"?>
<formControlPr xmlns="http://schemas.microsoft.com/office/spreadsheetml/2009/9/main" objectType="CheckBox" fmlaLink="$I$19" lockText="1" noThreeD="1"/>
</file>

<file path=xl/ctrlProps/ctrlProp50.xml><?xml version="1.0" encoding="utf-8"?>
<formControlPr xmlns="http://schemas.microsoft.com/office/spreadsheetml/2009/9/main" objectType="CheckBox" checked="Checked" fmlaLink="$L$82" lockText="1" noThreeD="1"/>
</file>

<file path=xl/ctrlProps/ctrlProp51.xml><?xml version="1.0" encoding="utf-8"?>
<formControlPr xmlns="http://schemas.microsoft.com/office/spreadsheetml/2009/9/main" objectType="CheckBox" checked="Checked" fmlaLink="$L$88" lockText="1" noThreeD="1"/>
</file>

<file path=xl/ctrlProps/ctrlProp52.xml><?xml version="1.0" encoding="utf-8"?>
<formControlPr xmlns="http://schemas.microsoft.com/office/spreadsheetml/2009/9/main" objectType="CheckBox" checked="Checked" fmlaLink="$L$110" lockText="1" noThreeD="1"/>
</file>

<file path=xl/ctrlProps/ctrlProp53.xml><?xml version="1.0" encoding="utf-8"?>
<formControlPr xmlns="http://schemas.microsoft.com/office/spreadsheetml/2009/9/main" objectType="CheckBox" checked="Checked" fmlaLink="$L$113" lockText="1" noThreeD="1"/>
</file>

<file path=xl/ctrlProps/ctrlProp54.xml><?xml version="1.0" encoding="utf-8"?>
<formControlPr xmlns="http://schemas.microsoft.com/office/spreadsheetml/2009/9/main" objectType="CheckBox" checked="Checked" fmlaLink="$L$119" lockText="1" noThreeD="1"/>
</file>

<file path=xl/ctrlProps/ctrlProp55.xml><?xml version="1.0" encoding="utf-8"?>
<formControlPr xmlns="http://schemas.microsoft.com/office/spreadsheetml/2009/9/main" objectType="CheckBox" checked="Checked" fmlaLink="$L$122" lockText="1" noThreeD="1"/>
</file>

<file path=xl/ctrlProps/ctrlProp56.xml><?xml version="1.0" encoding="utf-8"?>
<formControlPr xmlns="http://schemas.microsoft.com/office/spreadsheetml/2009/9/main" objectType="CheckBox" checked="Checked" fmlaLink="$L$128" lockText="1" noThreeD="1"/>
</file>

<file path=xl/ctrlProps/ctrlProp57.xml><?xml version="1.0" encoding="utf-8"?>
<formControlPr xmlns="http://schemas.microsoft.com/office/spreadsheetml/2009/9/main" objectType="CheckBox" checked="Checked" fmlaLink="$L$77" lockText="1" noThreeD="1"/>
</file>

<file path=xl/ctrlProps/ctrlProp58.xml><?xml version="1.0" encoding="utf-8"?>
<formControlPr xmlns="http://schemas.microsoft.com/office/spreadsheetml/2009/9/main" objectType="CheckBox" fmlaLink="$L$13" lockText="1" noThreeD="1"/>
</file>

<file path=xl/ctrlProps/ctrlProp59.xml><?xml version="1.0" encoding="utf-8"?>
<formControlPr xmlns="http://schemas.microsoft.com/office/spreadsheetml/2009/9/main" objectType="CheckBox" checked="Checked" fmlaLink="$L$14" lockText="1" noThreeD="1"/>
</file>

<file path=xl/ctrlProps/ctrlProp6.xml><?xml version="1.0" encoding="utf-8"?>
<formControlPr xmlns="http://schemas.microsoft.com/office/spreadsheetml/2009/9/main" objectType="CheckBox" checked="Checked" fmlaLink="$I$21" lockText="1" noThreeD="1"/>
</file>

<file path=xl/ctrlProps/ctrlProp60.xml><?xml version="1.0" encoding="utf-8"?>
<formControlPr xmlns="http://schemas.microsoft.com/office/spreadsheetml/2009/9/main" objectType="CheckBox" fmlaLink="$L$31"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L$43" lockText="1" noThreeD="1"/>
</file>

<file path=xl/ctrlProps/ctrlProp63.xml><?xml version="1.0" encoding="utf-8"?>
<formControlPr xmlns="http://schemas.microsoft.com/office/spreadsheetml/2009/9/main" objectType="CheckBox" fmlaLink="$L$37" lockText="1" noThreeD="1"/>
</file>

<file path=xl/ctrlProps/ctrlProp64.xml><?xml version="1.0" encoding="utf-8"?>
<formControlPr xmlns="http://schemas.microsoft.com/office/spreadsheetml/2009/9/main" objectType="CheckBox" checked="Checked" fmlaLink="$L$92" lockText="1" noThreeD="1"/>
</file>

<file path=xl/ctrlProps/ctrlProp65.xml><?xml version="1.0" encoding="utf-8"?>
<formControlPr xmlns="http://schemas.microsoft.com/office/spreadsheetml/2009/9/main" objectType="CheckBox" checked="Checked" fmlaLink="$L$102" lockText="1" noThreeD="1"/>
</file>

<file path=xl/ctrlProps/ctrlProp66.xml><?xml version="1.0" encoding="utf-8"?>
<formControlPr xmlns="http://schemas.microsoft.com/office/spreadsheetml/2009/9/main" objectType="CheckBox" checked="Checked" fmlaLink="$L$106" lockText="1" noThreeD="1"/>
</file>

<file path=xl/ctrlProps/ctrlProp67.xml><?xml version="1.0" encoding="utf-8"?>
<formControlPr xmlns="http://schemas.microsoft.com/office/spreadsheetml/2009/9/main" objectType="CheckBox" fmlaLink="$M$17" lockText="1" noThreeD="1"/>
</file>

<file path=xl/ctrlProps/ctrlProp68.xml><?xml version="1.0" encoding="utf-8"?>
<formControlPr xmlns="http://schemas.microsoft.com/office/spreadsheetml/2009/9/main" objectType="CheckBox" fmlaLink="$M$14" lockText="1" noThreeD="1"/>
</file>

<file path=xl/ctrlProps/ctrlProp69.xml><?xml version="1.0" encoding="utf-8"?>
<formControlPr xmlns="http://schemas.microsoft.com/office/spreadsheetml/2009/9/main" objectType="CheckBox" fmlaLink="$M$20" lockText="1" noThreeD="1"/>
</file>

<file path=xl/ctrlProps/ctrlProp7.xml><?xml version="1.0" encoding="utf-8"?>
<formControlPr xmlns="http://schemas.microsoft.com/office/spreadsheetml/2009/9/main" objectType="CheckBox" checked="Checked" fmlaLink="$I$12" lockText="1" noThreeD="1"/>
</file>

<file path=xl/ctrlProps/ctrlProp70.xml><?xml version="1.0" encoding="utf-8"?>
<formControlPr xmlns="http://schemas.microsoft.com/office/spreadsheetml/2009/9/main" objectType="CheckBox" fmlaLink="$M$23" lockText="1" noThreeD="1"/>
</file>

<file path=xl/ctrlProps/ctrlProp71.xml><?xml version="1.0" encoding="utf-8"?>
<formControlPr xmlns="http://schemas.microsoft.com/office/spreadsheetml/2009/9/main" objectType="CheckBox" fmlaLink="$M$45" lockText="1" noThreeD="1"/>
</file>

<file path=xl/ctrlProps/ctrlProp72.xml><?xml version="1.0" encoding="utf-8"?>
<formControlPr xmlns="http://schemas.microsoft.com/office/spreadsheetml/2009/9/main" objectType="CheckBox" fmlaLink="$M$50" lockText="1" noThreeD="1"/>
</file>

<file path=xl/ctrlProps/ctrlProp73.xml><?xml version="1.0" encoding="utf-8"?>
<formControlPr xmlns="http://schemas.microsoft.com/office/spreadsheetml/2009/9/main" objectType="CheckBox" fmlaLink="$M$53" lockText="1" noThreeD="1"/>
</file>

<file path=xl/ctrlProps/ctrlProp74.xml><?xml version="1.0" encoding="utf-8"?>
<formControlPr xmlns="http://schemas.microsoft.com/office/spreadsheetml/2009/9/main" objectType="CheckBox" fmlaLink="$M$56" lockText="1" noThreeD="1"/>
</file>

<file path=xl/ctrlProps/ctrlProp75.xml><?xml version="1.0" encoding="utf-8"?>
<formControlPr xmlns="http://schemas.microsoft.com/office/spreadsheetml/2009/9/main" objectType="CheckBox" fmlaLink="$M$59" lockText="1" noThreeD="1"/>
</file>

<file path=xl/ctrlProps/ctrlProp76.xml><?xml version="1.0" encoding="utf-8"?>
<formControlPr xmlns="http://schemas.microsoft.com/office/spreadsheetml/2009/9/main" objectType="CheckBox" fmlaLink="$M$62" lockText="1" noThreeD="1"/>
</file>

<file path=xl/ctrlProps/ctrlProp77.xml><?xml version="1.0" encoding="utf-8"?>
<formControlPr xmlns="http://schemas.microsoft.com/office/spreadsheetml/2009/9/main" objectType="CheckBox" fmlaLink="$M$68" lockText="1" noThreeD="1"/>
</file>

<file path=xl/ctrlProps/ctrlProp78.xml><?xml version="1.0" encoding="utf-8"?>
<formControlPr xmlns="http://schemas.microsoft.com/office/spreadsheetml/2009/9/main" objectType="CheckBox" fmlaLink="$M$73" lockText="1" noThreeD="1"/>
</file>

<file path=xl/ctrlProps/ctrlProp79.xml><?xml version="1.0" encoding="utf-8"?>
<formControlPr xmlns="http://schemas.microsoft.com/office/spreadsheetml/2009/9/main" objectType="CheckBox" fmlaLink="$M$75" lockText="1" noThreeD="1"/>
</file>

<file path=xl/ctrlProps/ctrlProp8.xml><?xml version="1.0" encoding="utf-8"?>
<formControlPr xmlns="http://schemas.microsoft.com/office/spreadsheetml/2009/9/main" objectType="CheckBox" fmlaLink="$I$13" lockText="1" noThreeD="1"/>
</file>

<file path=xl/ctrlProps/ctrlProp80.xml><?xml version="1.0" encoding="utf-8"?>
<formControlPr xmlns="http://schemas.microsoft.com/office/spreadsheetml/2009/9/main" objectType="CheckBox" fmlaLink="$M$80" lockText="1" noThreeD="1"/>
</file>

<file path=xl/ctrlProps/ctrlProp81.xml><?xml version="1.0" encoding="utf-8"?>
<formControlPr xmlns="http://schemas.microsoft.com/office/spreadsheetml/2009/9/main" objectType="CheckBox" fmlaLink="$M$83" lockText="1" noThreeD="1"/>
</file>

<file path=xl/ctrlProps/ctrlProp82.xml><?xml version="1.0" encoding="utf-8"?>
<formControlPr xmlns="http://schemas.microsoft.com/office/spreadsheetml/2009/9/main" objectType="CheckBox" fmlaLink="$M$86" lockText="1" noThreeD="1"/>
</file>

<file path=xl/ctrlProps/ctrlProp83.xml><?xml version="1.0" encoding="utf-8"?>
<formControlPr xmlns="http://schemas.microsoft.com/office/spreadsheetml/2009/9/main" objectType="CheckBox" fmlaLink="$M$89" lockText="1" noThreeD="1"/>
</file>

<file path=xl/ctrlProps/ctrlProp84.xml><?xml version="1.0" encoding="utf-8"?>
<formControlPr xmlns="http://schemas.microsoft.com/office/spreadsheetml/2009/9/main" objectType="CheckBox" fmlaLink="$M$118" lockText="1" noThreeD="1"/>
</file>

<file path=xl/ctrlProps/ctrlProp85.xml><?xml version="1.0" encoding="utf-8"?>
<formControlPr xmlns="http://schemas.microsoft.com/office/spreadsheetml/2009/9/main" objectType="CheckBox" fmlaLink="$M$120" lockText="1" noThreeD="1"/>
</file>

<file path=xl/ctrlProps/ctrlProp86.xml><?xml version="1.0" encoding="utf-8"?>
<formControlPr xmlns="http://schemas.microsoft.com/office/spreadsheetml/2009/9/main" objectType="CheckBox" checked="Checked" fmlaLink="$M$125" lockText="1" noThreeD="1"/>
</file>

<file path=xl/ctrlProps/ctrlProp87.xml><?xml version="1.0" encoding="utf-8"?>
<formControlPr xmlns="http://schemas.microsoft.com/office/spreadsheetml/2009/9/main" objectType="CheckBox" fmlaLink="$M$41" lockText="1" noThreeD="1"/>
</file>

<file path=xl/ctrlProps/ctrlProp88.xml><?xml version="1.0" encoding="utf-8"?>
<formControlPr xmlns="http://schemas.microsoft.com/office/spreadsheetml/2009/9/main" objectType="CheckBox" fmlaLink="$M$43" lockText="1" noThreeD="1"/>
</file>

<file path=xl/ctrlProps/ctrlProp89.xml><?xml version="1.0" encoding="utf-8"?>
<formControlPr xmlns="http://schemas.microsoft.com/office/spreadsheetml/2009/9/main" objectType="CheckBox" fmlaLink="$M$98" lockText="1" noThreeD="1"/>
</file>

<file path=xl/ctrlProps/ctrlProp9.xml><?xml version="1.0" encoding="utf-8"?>
<formControlPr xmlns="http://schemas.microsoft.com/office/spreadsheetml/2009/9/main" objectType="CheckBox" fmlaLink="$I$11" lockText="1" noThreeD="1"/>
</file>

<file path=xl/ctrlProps/ctrlProp90.xml><?xml version="1.0" encoding="utf-8"?>
<formControlPr xmlns="http://schemas.microsoft.com/office/spreadsheetml/2009/9/main" objectType="CheckBox" fmlaLink="$M$101" lockText="1" noThreeD="1"/>
</file>

<file path=xl/ctrlProps/ctrlProp91.xml><?xml version="1.0" encoding="utf-8"?>
<formControlPr xmlns="http://schemas.microsoft.com/office/spreadsheetml/2009/9/main" objectType="CheckBox" fmlaLink="$M$104" lockText="1" noThreeD="1"/>
</file>

<file path=xl/ctrlProps/ctrlProp92.xml><?xml version="1.0" encoding="utf-8"?>
<formControlPr xmlns="http://schemas.microsoft.com/office/spreadsheetml/2009/9/main" objectType="CheckBox" fmlaLink="$M$107" lockText="1" noThreeD="1"/>
</file>

<file path=xl/ctrlProps/ctrlProp93.xml><?xml version="1.0" encoding="utf-8"?>
<formControlPr xmlns="http://schemas.microsoft.com/office/spreadsheetml/2009/9/main" objectType="CheckBox" fmlaLink="$M$116" lockText="1" noThreeD="1"/>
</file>

<file path=xl/ctrlProps/ctrlProp94.xml><?xml version="1.0" encoding="utf-8"?>
<formControlPr xmlns="http://schemas.microsoft.com/office/spreadsheetml/2009/9/main" objectType="CheckBox" fmlaLink="$M$137" lockText="1" noThreeD="1"/>
</file>

<file path=xl/ctrlProps/ctrlProp95.xml><?xml version="1.0" encoding="utf-8"?>
<formControlPr xmlns="http://schemas.microsoft.com/office/spreadsheetml/2009/9/main" objectType="CheckBox" fmlaLink="$M$140" lockText="1" noThreeD="1"/>
</file>

<file path=xl/ctrlProps/ctrlProp96.xml><?xml version="1.0" encoding="utf-8"?>
<formControlPr xmlns="http://schemas.microsoft.com/office/spreadsheetml/2009/9/main" objectType="CheckBox" fmlaLink="$M$160" lockText="1" noThreeD="1"/>
</file>

<file path=xl/ctrlProps/ctrlProp97.xml><?xml version="1.0" encoding="utf-8"?>
<formControlPr xmlns="http://schemas.microsoft.com/office/spreadsheetml/2009/9/main" objectType="CheckBox" checked="Checked" fmlaLink="$M$155" lockText="1" noThreeD="1"/>
</file>

<file path=xl/ctrlProps/ctrlProp98.xml><?xml version="1.0" encoding="utf-8"?>
<formControlPr xmlns="http://schemas.microsoft.com/office/spreadsheetml/2009/9/main" objectType="CheckBox" fmlaLink="$M$162" lockText="1" noThreeD="1"/>
</file>

<file path=xl/ctrlProps/ctrlProp99.xml><?xml version="1.0" encoding="utf-8"?>
<formControlPr xmlns="http://schemas.microsoft.com/office/spreadsheetml/2009/9/main" objectType="CheckBox" fmlaLink="$M$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12700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222250</xdr:rowOff>
        </xdr:from>
        <xdr:to>
          <xdr:col>3</xdr:col>
          <xdr:colOff>0</xdr:colOff>
          <xdr:row>13</xdr:row>
          <xdr:rowOff>12700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12700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12700</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12700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12700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12700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12700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12700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12700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12700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12700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12700</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12700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12700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12700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12700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12700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12700</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12700</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12700</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12700</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12700</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12700</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12700</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12700</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12700</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17</xdr:row>
          <xdr:rowOff>12700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4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12700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4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4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12700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4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4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12700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4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12700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4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4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0</xdr:rowOff>
        </xdr:from>
        <xdr:to>
          <xdr:col>2</xdr:col>
          <xdr:colOff>0</xdr:colOff>
          <xdr:row>110</xdr:row>
          <xdr:rowOff>12700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4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0</xdr:colOff>
          <xdr:row>113</xdr:row>
          <xdr:rowOff>12700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04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0</xdr:colOff>
          <xdr:row>119</xdr:row>
          <xdr:rowOff>12700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4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0</xdr:rowOff>
        </xdr:from>
        <xdr:to>
          <xdr:col>2</xdr:col>
          <xdr:colOff>0</xdr:colOff>
          <xdr:row>122</xdr:row>
          <xdr:rowOff>12700</xdr:rowOff>
        </xdr:to>
        <xdr:sp macro="" textlink="">
          <xdr:nvSpPr>
            <xdr:cNvPr id="77836" name="Check Box 12" descr="3 Fahrstreifen" hidden="1">
              <a:extLst>
                <a:ext uri="{63B3BB69-23CF-44E3-9099-C40C66FF867C}">
                  <a14:compatExt spid="_x0000_s77836"/>
                </a:ext>
                <a:ext uri="{FF2B5EF4-FFF2-40B4-BE49-F238E27FC236}">
                  <a16:creationId xmlns:a16="http://schemas.microsoft.com/office/drawing/2014/main" id="{00000000-0008-0000-04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0</xdr:rowOff>
        </xdr:from>
        <xdr:to>
          <xdr:col>2</xdr:col>
          <xdr:colOff>0</xdr:colOff>
          <xdr:row>127</xdr:row>
          <xdr:rowOff>209550</xdr:rowOff>
        </xdr:to>
        <xdr:sp macro="" textlink="">
          <xdr:nvSpPr>
            <xdr:cNvPr id="77867" name="Check Box 43" hidden="1">
              <a:extLst>
                <a:ext uri="{63B3BB69-23CF-44E3-9099-C40C66FF867C}">
                  <a14:compatExt spid="_x0000_s77867"/>
                </a:ext>
                <a:ext uri="{FF2B5EF4-FFF2-40B4-BE49-F238E27FC236}">
                  <a16:creationId xmlns:a16="http://schemas.microsoft.com/office/drawing/2014/main" id="{00000000-0008-0000-0400-00002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12700</xdr:rowOff>
        </xdr:to>
        <xdr:sp macro="" textlink="">
          <xdr:nvSpPr>
            <xdr:cNvPr id="77868" name="Check Box 44" descr="3 Fahrstreifen" hidden="1">
              <a:extLst>
                <a:ext uri="{63B3BB69-23CF-44E3-9099-C40C66FF867C}">
                  <a14:compatExt spid="_x0000_s77868"/>
                </a:ext>
                <a:ext uri="{FF2B5EF4-FFF2-40B4-BE49-F238E27FC236}">
                  <a16:creationId xmlns:a16="http://schemas.microsoft.com/office/drawing/2014/main" id="{00000000-0008-0000-0400-00002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12700</xdr:rowOff>
        </xdr:to>
        <xdr:sp macro="" textlink="">
          <xdr:nvSpPr>
            <xdr:cNvPr id="77871" name="Check Box 47" hidden="1">
              <a:extLst>
                <a:ext uri="{63B3BB69-23CF-44E3-9099-C40C66FF867C}">
                  <a14:compatExt spid="_x0000_s77871"/>
                </a:ext>
                <a:ext uri="{FF2B5EF4-FFF2-40B4-BE49-F238E27FC236}">
                  <a16:creationId xmlns:a16="http://schemas.microsoft.com/office/drawing/2014/main" id="{00000000-0008-0000-0400-00002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12700</xdr:rowOff>
        </xdr:to>
        <xdr:sp macro="" textlink="">
          <xdr:nvSpPr>
            <xdr:cNvPr id="77875" name="Check Box 51" hidden="1">
              <a:extLst>
                <a:ext uri="{63B3BB69-23CF-44E3-9099-C40C66FF867C}">
                  <a14:compatExt spid="_x0000_s77875"/>
                </a:ext>
                <a:ext uri="{FF2B5EF4-FFF2-40B4-BE49-F238E27FC236}">
                  <a16:creationId xmlns:a16="http://schemas.microsoft.com/office/drawing/2014/main" id="{00000000-0008-0000-0400-00003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12700</xdr:rowOff>
        </xdr:to>
        <xdr:sp macro="" textlink="">
          <xdr:nvSpPr>
            <xdr:cNvPr id="77876" name="Check Box 52" hidden="1">
              <a:extLst>
                <a:ext uri="{63B3BB69-23CF-44E3-9099-C40C66FF867C}">
                  <a14:compatExt spid="_x0000_s77876"/>
                </a:ext>
                <a:ext uri="{FF2B5EF4-FFF2-40B4-BE49-F238E27FC236}">
                  <a16:creationId xmlns:a16="http://schemas.microsoft.com/office/drawing/2014/main" id="{00000000-0008-0000-0400-00003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77884" name="Check Box 60" hidden="1">
              <a:extLst>
                <a:ext uri="{63B3BB69-23CF-44E3-9099-C40C66FF867C}">
                  <a14:compatExt spid="_x0000_s77884"/>
                </a:ext>
                <a:ext uri="{FF2B5EF4-FFF2-40B4-BE49-F238E27FC236}">
                  <a16:creationId xmlns:a16="http://schemas.microsoft.com/office/drawing/2014/main" id="{00000000-0008-0000-0400-00003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12700</xdr:rowOff>
        </xdr:to>
        <xdr:sp macro="" textlink="">
          <xdr:nvSpPr>
            <xdr:cNvPr id="77885" name="Check Box 61" hidden="1">
              <a:extLst>
                <a:ext uri="{63B3BB69-23CF-44E3-9099-C40C66FF867C}">
                  <a14:compatExt spid="_x0000_s77885"/>
                </a:ext>
                <a:ext uri="{FF2B5EF4-FFF2-40B4-BE49-F238E27FC236}">
                  <a16:creationId xmlns:a16="http://schemas.microsoft.com/office/drawing/2014/main" id="{00000000-0008-0000-0400-00003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2</xdr:col>
          <xdr:colOff>0</xdr:colOff>
          <xdr:row>102</xdr:row>
          <xdr:rowOff>12700</xdr:rowOff>
        </xdr:to>
        <xdr:sp macro="" textlink="">
          <xdr:nvSpPr>
            <xdr:cNvPr id="77886" name="Check Box 62" hidden="1">
              <a:extLst>
                <a:ext uri="{63B3BB69-23CF-44E3-9099-C40C66FF867C}">
                  <a14:compatExt spid="_x0000_s77886"/>
                </a:ext>
                <a:ext uri="{FF2B5EF4-FFF2-40B4-BE49-F238E27FC236}">
                  <a16:creationId xmlns:a16="http://schemas.microsoft.com/office/drawing/2014/main" id="{00000000-0008-0000-0400-00003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12700</xdr:rowOff>
        </xdr:to>
        <xdr:sp macro="" textlink="">
          <xdr:nvSpPr>
            <xdr:cNvPr id="77887" name="Check Box 63" hidden="1">
              <a:extLst>
                <a:ext uri="{63B3BB69-23CF-44E3-9099-C40C66FF867C}">
                  <a14:compatExt spid="_x0000_s77887"/>
                </a:ext>
                <a:ext uri="{FF2B5EF4-FFF2-40B4-BE49-F238E27FC236}">
                  <a16:creationId xmlns:a16="http://schemas.microsoft.com/office/drawing/2014/main" id="{00000000-0008-0000-0400-00003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16</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209550</xdr:rowOff>
        </xdr:to>
        <xdr:sp macro="" textlink="">
          <xdr:nvSpPr>
            <xdr:cNvPr id="69871" name="Kontrollkästchen 2" hidden="1">
              <a:extLst>
                <a:ext uri="{63B3BB69-23CF-44E3-9099-C40C66FF867C}">
                  <a14:compatExt spid="_x0000_s69871"/>
                </a:ext>
                <a:ext uri="{FF2B5EF4-FFF2-40B4-BE49-F238E27FC236}">
                  <a16:creationId xmlns:a16="http://schemas.microsoft.com/office/drawing/2014/main" id="{00000000-0008-0000-0500-0000E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22</xdr:row>
          <xdr:rowOff>209550</xdr:rowOff>
        </xdr:to>
        <xdr:sp macro="" textlink="">
          <xdr:nvSpPr>
            <xdr:cNvPr id="69872" name="Kontrollkästchen 2" hidden="1">
              <a:extLst>
                <a:ext uri="{63B3BB69-23CF-44E3-9099-C40C66FF867C}">
                  <a14:compatExt spid="_x0000_s69872"/>
                </a:ext>
                <a:ext uri="{FF2B5EF4-FFF2-40B4-BE49-F238E27FC236}">
                  <a16:creationId xmlns:a16="http://schemas.microsoft.com/office/drawing/2014/main" id="{00000000-0008-0000-0500-0000F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0</xdr:rowOff>
        </xdr:to>
        <xdr:sp macro="" textlink="">
          <xdr:nvSpPr>
            <xdr:cNvPr id="69873" name="Kontrollkästchen 2" hidden="1">
              <a:extLst>
                <a:ext uri="{63B3BB69-23CF-44E3-9099-C40C66FF867C}">
                  <a14:compatExt spid="_x0000_s69873"/>
                </a:ext>
                <a:ext uri="{FF2B5EF4-FFF2-40B4-BE49-F238E27FC236}">
                  <a16:creationId xmlns:a16="http://schemas.microsoft.com/office/drawing/2014/main" id="{00000000-0008-0000-0500-0000F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49</xdr:row>
          <xdr:rowOff>209550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0</xdr:colOff>
          <xdr:row>53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876" name="Kontrollkästchen 2" hidden="1">
              <a:extLst>
                <a:ext uri="{63B3BB69-23CF-44E3-9099-C40C66FF867C}">
                  <a14:compatExt spid="_x0000_s69876"/>
                </a:ext>
                <a:ext uri="{FF2B5EF4-FFF2-40B4-BE49-F238E27FC236}">
                  <a16:creationId xmlns:a16="http://schemas.microsoft.com/office/drawing/2014/main" id="{00000000-0008-0000-0500-0000F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69877" name="Kontrollkästchen 2" hidden="1">
              <a:extLst>
                <a:ext uri="{63B3BB69-23CF-44E3-9099-C40C66FF867C}">
                  <a14:compatExt spid="_x0000_s69877"/>
                </a:ext>
                <a:ext uri="{FF2B5EF4-FFF2-40B4-BE49-F238E27FC236}">
                  <a16:creationId xmlns:a16="http://schemas.microsoft.com/office/drawing/2014/main" id="{00000000-0008-0000-0500-0000F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0</xdr:rowOff>
        </xdr:to>
        <xdr:sp macro="" textlink="">
          <xdr:nvSpPr>
            <xdr:cNvPr id="69878" name="Kontrollkästchen 2" hidden="1">
              <a:extLst>
                <a:ext uri="{63B3BB69-23CF-44E3-9099-C40C66FF867C}">
                  <a14:compatExt spid="_x0000_s69878"/>
                </a:ext>
                <a:ext uri="{FF2B5EF4-FFF2-40B4-BE49-F238E27FC236}">
                  <a16:creationId xmlns:a16="http://schemas.microsoft.com/office/drawing/2014/main" id="{00000000-0008-0000-0500-0000F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69879" name="Kontrollkästchen 2" hidden="1">
              <a:extLst>
                <a:ext uri="{63B3BB69-23CF-44E3-9099-C40C66FF867C}">
                  <a14:compatExt spid="_x0000_s69879"/>
                </a:ext>
                <a:ext uri="{FF2B5EF4-FFF2-40B4-BE49-F238E27FC236}">
                  <a16:creationId xmlns:a16="http://schemas.microsoft.com/office/drawing/2014/main" id="{00000000-0008-0000-0500-0000F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69882" name="Kontrollkästchen 2" hidden="1">
              <a:extLst>
                <a:ext uri="{63B3BB69-23CF-44E3-9099-C40C66FF867C}">
                  <a14:compatExt spid="_x0000_s69882"/>
                </a:ext>
                <a:ext uri="{FF2B5EF4-FFF2-40B4-BE49-F238E27FC236}">
                  <a16:creationId xmlns:a16="http://schemas.microsoft.com/office/drawing/2014/main" id="{00000000-0008-0000-0500-0000F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0</xdr:rowOff>
        </xdr:to>
        <xdr:sp macro="" textlink="">
          <xdr:nvSpPr>
            <xdr:cNvPr id="69883" name="Kontrollkästchen 2" hidden="1">
              <a:extLst>
                <a:ext uri="{63B3BB69-23CF-44E3-9099-C40C66FF867C}">
                  <a14:compatExt spid="_x0000_s69883"/>
                </a:ext>
                <a:ext uri="{FF2B5EF4-FFF2-40B4-BE49-F238E27FC236}">
                  <a16:creationId xmlns:a16="http://schemas.microsoft.com/office/drawing/2014/main" id="{00000000-0008-0000-0500-0000F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79</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0</xdr:rowOff>
        </xdr:from>
        <xdr:to>
          <xdr:col>2</xdr:col>
          <xdr:colOff>0</xdr:colOff>
          <xdr:row>118</xdr:row>
          <xdr:rowOff>0</xdr:rowOff>
        </xdr:to>
        <xdr:sp macro="" textlink="">
          <xdr:nvSpPr>
            <xdr:cNvPr id="69888" name="Check Box 1280" hidden="1">
              <a:extLst>
                <a:ext uri="{63B3BB69-23CF-44E3-9099-C40C66FF867C}">
                  <a14:compatExt spid="_x0000_s69888"/>
                </a:ext>
                <a:ext uri="{FF2B5EF4-FFF2-40B4-BE49-F238E27FC236}">
                  <a16:creationId xmlns:a16="http://schemas.microsoft.com/office/drawing/2014/main" id="{00000000-0008-0000-0500-00000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0</xdr:rowOff>
        </xdr:from>
        <xdr:to>
          <xdr:col>2</xdr:col>
          <xdr:colOff>0</xdr:colOff>
          <xdr:row>120</xdr:row>
          <xdr:rowOff>0</xdr:rowOff>
        </xdr:to>
        <xdr:sp macro="" textlink="">
          <xdr:nvSpPr>
            <xdr:cNvPr id="69889" name="Check Box 1281" hidden="1">
              <a:extLst>
                <a:ext uri="{63B3BB69-23CF-44E3-9099-C40C66FF867C}">
                  <a14:compatExt spid="_x0000_s69889"/>
                </a:ext>
                <a:ext uri="{FF2B5EF4-FFF2-40B4-BE49-F238E27FC236}">
                  <a16:creationId xmlns:a16="http://schemas.microsoft.com/office/drawing/2014/main" id="{00000000-0008-0000-0500-00000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0</xdr:rowOff>
        </xdr:from>
        <xdr:to>
          <xdr:col>2</xdr:col>
          <xdr:colOff>0</xdr:colOff>
          <xdr:row>124</xdr:row>
          <xdr:rowOff>209550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0</xdr:rowOff>
        </xdr:to>
        <xdr:sp macro="" textlink="">
          <xdr:nvSpPr>
            <xdr:cNvPr id="69932" name="Check Box 1324" hidden="1">
              <a:extLst>
                <a:ext uri="{63B3BB69-23CF-44E3-9099-C40C66FF867C}">
                  <a14:compatExt spid="_x0000_s69932"/>
                </a:ext>
                <a:ext uri="{FF2B5EF4-FFF2-40B4-BE49-F238E27FC236}">
                  <a16:creationId xmlns:a16="http://schemas.microsoft.com/office/drawing/2014/main" id="{00000000-0008-0000-0500-00002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69933" name="Check Box 1325" hidden="1">
              <a:extLst>
                <a:ext uri="{63B3BB69-23CF-44E3-9099-C40C66FF867C}">
                  <a14:compatExt spid="_x0000_s69933"/>
                </a:ext>
                <a:ext uri="{FF2B5EF4-FFF2-40B4-BE49-F238E27FC236}">
                  <a16:creationId xmlns:a16="http://schemas.microsoft.com/office/drawing/2014/main" id="{00000000-0008-0000-0500-00002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0</xdr:colOff>
          <xdr:row>98</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2</xdr:col>
          <xdr:colOff>0</xdr:colOff>
          <xdr:row>101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0</xdr:rowOff>
        </xdr:from>
        <xdr:to>
          <xdr:col>2</xdr:col>
          <xdr:colOff>0</xdr:colOff>
          <xdr:row>104</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0</xdr:colOff>
          <xdr:row>107</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0</xdr:colOff>
          <xdr:row>116</xdr:row>
          <xdr:rowOff>0</xdr:rowOff>
        </xdr:to>
        <xdr:sp macro="" textlink="">
          <xdr:nvSpPr>
            <xdr:cNvPr id="69942" name="Check Box 1334" hidden="1">
              <a:extLst>
                <a:ext uri="{63B3BB69-23CF-44E3-9099-C40C66FF867C}">
                  <a14:compatExt spid="_x0000_s69942"/>
                </a:ext>
                <a:ext uri="{FF2B5EF4-FFF2-40B4-BE49-F238E27FC236}">
                  <a16:creationId xmlns:a16="http://schemas.microsoft.com/office/drawing/2014/main" id="{00000000-0008-0000-0500-00003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0</xdr:rowOff>
        </xdr:from>
        <xdr:to>
          <xdr:col>2</xdr:col>
          <xdr:colOff>0</xdr:colOff>
          <xdr:row>137</xdr:row>
          <xdr:rowOff>0</xdr:rowOff>
        </xdr:to>
        <xdr:sp macro="" textlink="">
          <xdr:nvSpPr>
            <xdr:cNvPr id="69943" name="Check Box 1335" hidden="1">
              <a:extLst>
                <a:ext uri="{63B3BB69-23CF-44E3-9099-C40C66FF867C}">
                  <a14:compatExt spid="_x0000_s69943"/>
                </a:ext>
                <a:ext uri="{FF2B5EF4-FFF2-40B4-BE49-F238E27FC236}">
                  <a16:creationId xmlns:a16="http://schemas.microsoft.com/office/drawing/2014/main" id="{00000000-0008-0000-0500-00003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0</xdr:rowOff>
        </xdr:from>
        <xdr:to>
          <xdr:col>2</xdr:col>
          <xdr:colOff>0</xdr:colOff>
          <xdr:row>140</xdr:row>
          <xdr:rowOff>0</xdr:rowOff>
        </xdr:to>
        <xdr:sp macro="" textlink="">
          <xdr:nvSpPr>
            <xdr:cNvPr id="69944" name="Check Box 1336" hidden="1">
              <a:extLst>
                <a:ext uri="{63B3BB69-23CF-44E3-9099-C40C66FF867C}">
                  <a14:compatExt spid="_x0000_s69944"/>
                </a:ext>
                <a:ext uri="{FF2B5EF4-FFF2-40B4-BE49-F238E27FC236}">
                  <a16:creationId xmlns:a16="http://schemas.microsoft.com/office/drawing/2014/main" id="{00000000-0008-0000-0500-00003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0</xdr:rowOff>
        </xdr:to>
        <xdr:sp macro="" textlink="">
          <xdr:nvSpPr>
            <xdr:cNvPr id="69945" name="Check Box 1337" hidden="1">
              <a:extLst>
                <a:ext uri="{63B3BB69-23CF-44E3-9099-C40C66FF867C}">
                  <a14:compatExt spid="_x0000_s69945"/>
                </a:ext>
                <a:ext uri="{FF2B5EF4-FFF2-40B4-BE49-F238E27FC236}">
                  <a16:creationId xmlns:a16="http://schemas.microsoft.com/office/drawing/2014/main" id="{00000000-0008-0000-0500-000039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154</xdr:row>
          <xdr:rowOff>0</xdr:rowOff>
        </xdr:from>
        <xdr:to>
          <xdr:col>2</xdr:col>
          <xdr:colOff>0</xdr:colOff>
          <xdr:row>155</xdr:row>
          <xdr:rowOff>0</xdr:rowOff>
        </xdr:to>
        <xdr:sp macro="" textlink="">
          <xdr:nvSpPr>
            <xdr:cNvPr id="69947" name="Check Box 1339" hidden="1">
              <a:extLst>
                <a:ext uri="{63B3BB69-23CF-44E3-9099-C40C66FF867C}">
                  <a14:compatExt spid="_x0000_s69947"/>
                </a:ext>
                <a:ext uri="{FF2B5EF4-FFF2-40B4-BE49-F238E27FC236}">
                  <a16:creationId xmlns:a16="http://schemas.microsoft.com/office/drawing/2014/main" id="{00000000-0008-0000-0500-00003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0</xdr:rowOff>
        </xdr:from>
        <xdr:to>
          <xdr:col>2</xdr:col>
          <xdr:colOff>0</xdr:colOff>
          <xdr:row>162</xdr:row>
          <xdr:rowOff>0</xdr:rowOff>
        </xdr:to>
        <xdr:sp macro="" textlink="">
          <xdr:nvSpPr>
            <xdr:cNvPr id="69948" name="Check Box 1340" hidden="1">
              <a:extLst>
                <a:ext uri="{63B3BB69-23CF-44E3-9099-C40C66FF867C}">
                  <a14:compatExt spid="_x0000_s69948"/>
                </a:ext>
                <a:ext uri="{FF2B5EF4-FFF2-40B4-BE49-F238E27FC236}">
                  <a16:creationId xmlns:a16="http://schemas.microsoft.com/office/drawing/2014/main" id="{00000000-0008-0000-0500-00003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25</xdr:row>
          <xdr:rowOff>209550</xdr:rowOff>
        </xdr:to>
        <xdr:sp macro="" textlink="">
          <xdr:nvSpPr>
            <xdr:cNvPr id="69955" name="Kontrollkästchen 2" hidden="1">
              <a:extLst>
                <a:ext uri="{63B3BB69-23CF-44E3-9099-C40C66FF867C}">
                  <a14:compatExt spid="_x0000_s69955"/>
                </a:ext>
                <a:ext uri="{FF2B5EF4-FFF2-40B4-BE49-F238E27FC236}">
                  <a16:creationId xmlns:a16="http://schemas.microsoft.com/office/drawing/2014/main" id="{00000000-0008-0000-0500-00004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28</xdr:row>
          <xdr:rowOff>209550</xdr:rowOff>
        </xdr:to>
        <xdr:sp macro="" textlink="">
          <xdr:nvSpPr>
            <xdr:cNvPr id="69956" name="Check Box 1348" hidden="1">
              <a:extLst>
                <a:ext uri="{63B3BB69-23CF-44E3-9099-C40C66FF867C}">
                  <a14:compatExt spid="_x0000_s69956"/>
                </a:ext>
                <a:ext uri="{FF2B5EF4-FFF2-40B4-BE49-F238E27FC236}">
                  <a16:creationId xmlns:a16="http://schemas.microsoft.com/office/drawing/2014/main" id="{00000000-0008-0000-0500-00004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31</xdr:row>
          <xdr:rowOff>209550</xdr:rowOff>
        </xdr:to>
        <xdr:sp macro="" textlink="">
          <xdr:nvSpPr>
            <xdr:cNvPr id="69957" name="Check Box 1349" hidden="1">
              <a:extLst>
                <a:ext uri="{63B3BB69-23CF-44E3-9099-C40C66FF867C}">
                  <a14:compatExt spid="_x0000_s69957"/>
                </a:ext>
                <a:ext uri="{FF2B5EF4-FFF2-40B4-BE49-F238E27FC236}">
                  <a16:creationId xmlns:a16="http://schemas.microsoft.com/office/drawing/2014/main" id="{00000000-0008-0000-0500-00004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958" name="Check Box 1350" hidden="1">
              <a:extLst>
                <a:ext uri="{63B3BB69-23CF-44E3-9099-C40C66FF867C}">
                  <a14:compatExt spid="_x0000_s69958"/>
                </a:ext>
                <a:ext uri="{FF2B5EF4-FFF2-40B4-BE49-F238E27FC236}">
                  <a16:creationId xmlns:a16="http://schemas.microsoft.com/office/drawing/2014/main" id="{00000000-0008-0000-0500-00004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69959" name="Check Box 1351" hidden="1">
              <a:extLst>
                <a:ext uri="{63B3BB69-23CF-44E3-9099-C40C66FF867C}">
                  <a14:compatExt spid="_x0000_s69959"/>
                </a:ext>
                <a:ext uri="{FF2B5EF4-FFF2-40B4-BE49-F238E27FC236}">
                  <a16:creationId xmlns:a16="http://schemas.microsoft.com/office/drawing/2014/main" id="{00000000-0008-0000-0500-000047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0" name="Check Box 1352" hidden="1">
              <a:extLst>
                <a:ext uri="{63B3BB69-23CF-44E3-9099-C40C66FF867C}">
                  <a14:compatExt spid="_x0000_s69960"/>
                </a:ext>
                <a:ext uri="{FF2B5EF4-FFF2-40B4-BE49-F238E27FC236}">
                  <a16:creationId xmlns:a16="http://schemas.microsoft.com/office/drawing/2014/main" id="{00000000-0008-0000-0500-000048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0</xdr:rowOff>
        </xdr:to>
        <xdr:sp macro="" textlink="">
          <xdr:nvSpPr>
            <xdr:cNvPr id="69962" name="Check Box 1354" hidden="1">
              <a:extLst>
                <a:ext uri="{63B3BB69-23CF-44E3-9099-C40C66FF867C}">
                  <a14:compatExt spid="_x0000_s69962"/>
                </a:ext>
                <a:ext uri="{FF2B5EF4-FFF2-40B4-BE49-F238E27FC236}">
                  <a16:creationId xmlns:a16="http://schemas.microsoft.com/office/drawing/2014/main" id="{00000000-0008-0000-0500-00004A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0</xdr:colOff>
          <xdr:row>92</xdr:row>
          <xdr:rowOff>0</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0</xdr:colOff>
          <xdr:row>95</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0</xdr:rowOff>
        </xdr:from>
        <xdr:to>
          <xdr:col>2</xdr:col>
          <xdr:colOff>0</xdr:colOff>
          <xdr:row>110</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0</xdr:colOff>
          <xdr:row>113</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142</xdr:row>
          <xdr:rowOff>0</xdr:rowOff>
        </xdr:from>
        <xdr:to>
          <xdr:col>2</xdr:col>
          <xdr:colOff>0</xdr:colOff>
          <xdr:row>143</xdr:row>
          <xdr:rowOff>0</xdr:rowOff>
        </xdr:to>
        <xdr:sp macro="" textlink="">
          <xdr:nvSpPr>
            <xdr:cNvPr id="69967" name="Check Box 1359" hidden="1">
              <a:extLst>
                <a:ext uri="{63B3BB69-23CF-44E3-9099-C40C66FF867C}">
                  <a14:compatExt spid="_x0000_s69967"/>
                </a:ext>
                <a:ext uri="{FF2B5EF4-FFF2-40B4-BE49-F238E27FC236}">
                  <a16:creationId xmlns:a16="http://schemas.microsoft.com/office/drawing/2014/main" id="{00000000-0008-0000-0500-00004F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0</xdr:rowOff>
        </xdr:from>
        <xdr:to>
          <xdr:col>2</xdr:col>
          <xdr:colOff>0</xdr:colOff>
          <xdr:row>146</xdr:row>
          <xdr:rowOff>0</xdr:rowOff>
        </xdr:to>
        <xdr:sp macro="" textlink="">
          <xdr:nvSpPr>
            <xdr:cNvPr id="69968" name="Check Box 1360" hidden="1">
              <a:extLst>
                <a:ext uri="{63B3BB69-23CF-44E3-9099-C40C66FF867C}">
                  <a14:compatExt spid="_x0000_s69968"/>
                </a:ext>
                <a:ext uri="{FF2B5EF4-FFF2-40B4-BE49-F238E27FC236}">
                  <a16:creationId xmlns:a16="http://schemas.microsoft.com/office/drawing/2014/main" id="{00000000-0008-0000-0500-00005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148</xdr:row>
          <xdr:rowOff>0</xdr:rowOff>
        </xdr:from>
        <xdr:to>
          <xdr:col>2</xdr:col>
          <xdr:colOff>0</xdr:colOff>
          <xdr:row>149</xdr:row>
          <xdr:rowOff>0</xdr:rowOff>
        </xdr:to>
        <xdr:sp macro="" textlink="">
          <xdr:nvSpPr>
            <xdr:cNvPr id="69969" name="Check Box 1361" hidden="1">
              <a:extLst>
                <a:ext uri="{63B3BB69-23CF-44E3-9099-C40C66FF867C}">
                  <a14:compatExt spid="_x0000_s69969"/>
                </a:ext>
                <a:ext uri="{FF2B5EF4-FFF2-40B4-BE49-F238E27FC236}">
                  <a16:creationId xmlns:a16="http://schemas.microsoft.com/office/drawing/2014/main" id="{00000000-0008-0000-0500-00005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157</xdr:row>
          <xdr:rowOff>0</xdr:rowOff>
        </xdr:from>
        <xdr:to>
          <xdr:col>2</xdr:col>
          <xdr:colOff>0</xdr:colOff>
          <xdr:row>158</xdr:row>
          <xdr:rowOff>0</xdr:rowOff>
        </xdr:to>
        <xdr:sp macro="" textlink="">
          <xdr:nvSpPr>
            <xdr:cNvPr id="69970" name="Check Box 1362" hidden="1">
              <a:extLst>
                <a:ext uri="{63B3BB69-23CF-44E3-9099-C40C66FF867C}">
                  <a14:compatExt spid="_x0000_s69970"/>
                </a:ext>
                <a:ext uri="{FF2B5EF4-FFF2-40B4-BE49-F238E27FC236}">
                  <a16:creationId xmlns:a16="http://schemas.microsoft.com/office/drawing/2014/main" id="{00000000-0008-0000-0500-00005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2</xdr:col>
          <xdr:colOff>0</xdr:colOff>
          <xdr:row>152</xdr:row>
          <xdr:rowOff>0</xdr:rowOff>
        </xdr:to>
        <xdr:sp macro="" textlink="">
          <xdr:nvSpPr>
            <xdr:cNvPr id="69971" name="Check Box 1363" hidden="1">
              <a:extLst>
                <a:ext uri="{63B3BB69-23CF-44E3-9099-C40C66FF867C}">
                  <a14:compatExt spid="_x0000_s69971"/>
                </a:ext>
                <a:ext uri="{FF2B5EF4-FFF2-40B4-BE49-F238E27FC236}">
                  <a16:creationId xmlns:a16="http://schemas.microsoft.com/office/drawing/2014/main" id="{00000000-0008-0000-0500-00005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0</xdr:rowOff>
        </xdr:from>
        <xdr:to>
          <xdr:col>2</xdr:col>
          <xdr:colOff>0</xdr:colOff>
          <xdr:row>128</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0</xdr:rowOff>
        </xdr:from>
        <xdr:to>
          <xdr:col>2</xdr:col>
          <xdr:colOff>0</xdr:colOff>
          <xdr:row>130</xdr:row>
          <xdr:rowOff>209550</xdr:rowOff>
        </xdr:to>
        <xdr:sp macro="" textlink="">
          <xdr:nvSpPr>
            <xdr:cNvPr id="69973" name="Check Box 1365" hidden="1">
              <a:extLst>
                <a:ext uri="{63B3BB69-23CF-44E3-9099-C40C66FF867C}">
                  <a14:compatExt spid="_x0000_s69973"/>
                </a:ext>
                <a:ext uri="{FF2B5EF4-FFF2-40B4-BE49-F238E27FC236}">
                  <a16:creationId xmlns:a16="http://schemas.microsoft.com/office/drawing/2014/main" id="{00000000-0008-0000-0500-000055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0</xdr:rowOff>
        </xdr:from>
        <xdr:to>
          <xdr:col>2</xdr:col>
          <xdr:colOff>0</xdr:colOff>
          <xdr:row>133</xdr:row>
          <xdr:rowOff>209550</xdr:rowOff>
        </xdr:to>
        <xdr:sp macro="" textlink="">
          <xdr:nvSpPr>
            <xdr:cNvPr id="69974" name="Check Box 1366" hidden="1">
              <a:extLst>
                <a:ext uri="{63B3BB69-23CF-44E3-9099-C40C66FF867C}">
                  <a14:compatExt spid="_x0000_s69974"/>
                </a:ext>
                <a:ext uri="{FF2B5EF4-FFF2-40B4-BE49-F238E27FC236}">
                  <a16:creationId xmlns:a16="http://schemas.microsoft.com/office/drawing/2014/main" id="{00000000-0008-0000-0500-000056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12700</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12700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0</xdr:colOff>
          <xdr:row>61</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12700</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0</xdr:colOff>
          <xdr:row>79</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4</xdr:col>
          <xdr:colOff>0</xdr:colOff>
          <xdr:row>78</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0</xdr:colOff>
          <xdr:row>59</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12700</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5</xdr:col>
          <xdr:colOff>304800</xdr:colOff>
          <xdr:row>19</xdr:row>
          <xdr:rowOff>0</xdr:rowOff>
        </xdr:to>
        <xdr:sp macro="" textlink="">
          <xdr:nvSpPr>
            <xdr:cNvPr id="66561" name="Check Box 1" descr="3 Fahrstreifen" hidden="1">
              <a:extLst>
                <a:ext uri="{63B3BB69-23CF-44E3-9099-C40C66FF867C}">
                  <a14:compatExt spid="_x0000_s66561"/>
                </a:ext>
                <a:ext uri="{FF2B5EF4-FFF2-40B4-BE49-F238E27FC236}">
                  <a16:creationId xmlns:a16="http://schemas.microsoft.com/office/drawing/2014/main" id="{00000000-0008-0000-08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5</xdr:col>
          <xdr:colOff>304800</xdr:colOff>
          <xdr:row>20</xdr:row>
          <xdr:rowOff>0</xdr:rowOff>
        </xdr:to>
        <xdr:sp macro="" textlink="">
          <xdr:nvSpPr>
            <xdr:cNvPr id="66562" name="Check Box 2" descr="3 Fahrstreifen" hidden="1">
              <a:extLst>
                <a:ext uri="{63B3BB69-23CF-44E3-9099-C40C66FF867C}">
                  <a14:compatExt spid="_x0000_s66562"/>
                </a:ext>
                <a:ext uri="{FF2B5EF4-FFF2-40B4-BE49-F238E27FC236}">
                  <a16:creationId xmlns:a16="http://schemas.microsoft.com/office/drawing/2014/main" id="{00000000-0008-0000-08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5</xdr:col>
          <xdr:colOff>304800</xdr:colOff>
          <xdr:row>21</xdr:row>
          <xdr:rowOff>0</xdr:rowOff>
        </xdr:to>
        <xdr:sp macro="" textlink="">
          <xdr:nvSpPr>
            <xdr:cNvPr id="66563" name="Check Box 3" descr="3 Fahrstreifen" hidden="1">
              <a:extLst>
                <a:ext uri="{63B3BB69-23CF-44E3-9099-C40C66FF867C}">
                  <a14:compatExt spid="_x0000_s66563"/>
                </a:ext>
                <a:ext uri="{FF2B5EF4-FFF2-40B4-BE49-F238E27FC236}">
                  <a16:creationId xmlns:a16="http://schemas.microsoft.com/office/drawing/2014/main" id="{00000000-0008-0000-08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5</xdr:col>
          <xdr:colOff>304800</xdr:colOff>
          <xdr:row>22</xdr:row>
          <xdr:rowOff>0</xdr:rowOff>
        </xdr:to>
        <xdr:sp macro="" textlink="">
          <xdr:nvSpPr>
            <xdr:cNvPr id="66564" name="Check Box 4" descr="3 Fahrstreifen" hidden="1">
              <a:extLst>
                <a:ext uri="{63B3BB69-23CF-44E3-9099-C40C66FF867C}">
                  <a14:compatExt spid="_x0000_s66564"/>
                </a:ext>
                <a:ext uri="{FF2B5EF4-FFF2-40B4-BE49-F238E27FC236}">
                  <a16:creationId xmlns:a16="http://schemas.microsoft.com/office/drawing/2014/main" id="{00000000-0008-0000-08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5</xdr:col>
          <xdr:colOff>323850</xdr:colOff>
          <xdr:row>23</xdr:row>
          <xdr:rowOff>165100</xdr:rowOff>
        </xdr:to>
        <xdr:sp macro="" textlink="">
          <xdr:nvSpPr>
            <xdr:cNvPr id="66566" name="Check Box 6" descr="3 Fahrstreifen" hidden="1">
              <a:extLst>
                <a:ext uri="{63B3BB69-23CF-44E3-9099-C40C66FF867C}">
                  <a14:compatExt spid="_x0000_s66566"/>
                </a:ext>
                <a:ext uri="{FF2B5EF4-FFF2-40B4-BE49-F238E27FC236}">
                  <a16:creationId xmlns:a16="http://schemas.microsoft.com/office/drawing/2014/main" id="{00000000-0008-0000-08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5</xdr:col>
          <xdr:colOff>304800</xdr:colOff>
          <xdr:row>25</xdr:row>
          <xdr:rowOff>0</xdr:rowOff>
        </xdr:to>
        <xdr:sp macro="" textlink="">
          <xdr:nvSpPr>
            <xdr:cNvPr id="66567" name="Check Box 7" descr="3 Fahrstreifen" hidden="1">
              <a:extLst>
                <a:ext uri="{63B3BB69-23CF-44E3-9099-C40C66FF867C}">
                  <a14:compatExt spid="_x0000_s66567"/>
                </a:ext>
                <a:ext uri="{FF2B5EF4-FFF2-40B4-BE49-F238E27FC236}">
                  <a16:creationId xmlns:a16="http://schemas.microsoft.com/office/drawing/2014/main" id="{00000000-0008-0000-08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5</xdr:col>
          <xdr:colOff>304800</xdr:colOff>
          <xdr:row>27</xdr:row>
          <xdr:rowOff>0</xdr:rowOff>
        </xdr:to>
        <xdr:sp macro="" textlink="">
          <xdr:nvSpPr>
            <xdr:cNvPr id="66569" name="Check Box 9" descr="3 Fahrstreifen" hidden="1">
              <a:extLst>
                <a:ext uri="{63B3BB69-23CF-44E3-9099-C40C66FF867C}">
                  <a14:compatExt spid="_x0000_s66569"/>
                </a:ext>
                <a:ext uri="{FF2B5EF4-FFF2-40B4-BE49-F238E27FC236}">
                  <a16:creationId xmlns:a16="http://schemas.microsoft.com/office/drawing/2014/main" id="{00000000-0008-0000-08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5</xdr:col>
          <xdr:colOff>304800</xdr:colOff>
          <xdr:row>28</xdr:row>
          <xdr:rowOff>0</xdr:rowOff>
        </xdr:to>
        <xdr:sp macro="" textlink="">
          <xdr:nvSpPr>
            <xdr:cNvPr id="66570" name="Check Box 10" descr="3 Fahrstreifen" hidden="1">
              <a:extLst>
                <a:ext uri="{63B3BB69-23CF-44E3-9099-C40C66FF867C}">
                  <a14:compatExt spid="_x0000_s66570"/>
                </a:ext>
                <a:ext uri="{FF2B5EF4-FFF2-40B4-BE49-F238E27FC236}">
                  <a16:creationId xmlns:a16="http://schemas.microsoft.com/office/drawing/2014/main" id="{00000000-0008-0000-08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5</xdr:col>
          <xdr:colOff>304800</xdr:colOff>
          <xdr:row>30</xdr:row>
          <xdr:rowOff>0</xdr:rowOff>
        </xdr:to>
        <xdr:sp macro="" textlink="">
          <xdr:nvSpPr>
            <xdr:cNvPr id="66571" name="Check Box 11" descr="3 Fahrstreifen" hidden="1">
              <a:extLst>
                <a:ext uri="{63B3BB69-23CF-44E3-9099-C40C66FF867C}">
                  <a14:compatExt spid="_x0000_s66571"/>
                </a:ext>
                <a:ext uri="{FF2B5EF4-FFF2-40B4-BE49-F238E27FC236}">
                  <a16:creationId xmlns:a16="http://schemas.microsoft.com/office/drawing/2014/main" id="{00000000-0008-0000-08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5</xdr:col>
          <xdr:colOff>304800</xdr:colOff>
          <xdr:row>29</xdr:row>
          <xdr:rowOff>0</xdr:rowOff>
        </xdr:to>
        <xdr:sp macro="" textlink="">
          <xdr:nvSpPr>
            <xdr:cNvPr id="66573" name="Check Box 13" descr="3 Fahrstreifen" hidden="1">
              <a:extLst>
                <a:ext uri="{63B3BB69-23CF-44E3-9099-C40C66FF867C}">
                  <a14:compatExt spid="_x0000_s66573"/>
                </a:ext>
                <a:ext uri="{FF2B5EF4-FFF2-40B4-BE49-F238E27FC236}">
                  <a16:creationId xmlns:a16="http://schemas.microsoft.com/office/drawing/2014/main" id="{00000000-0008-0000-08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Honorarberechnung'!J104</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518"/>
    <tableColumn id="3" xr3:uid="{00000000-0010-0000-0100-000003000000}" name="Index" dataDxfId="517"/>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516" headerRowBorderDxfId="515" tableBorderDxfId="514">
  <autoFilter ref="B55:F250" xr:uid="{00000000-0009-0000-0100-000006000000}"/>
  <tableColumns count="5">
    <tableColumn id="1" xr3:uid="{00000000-0010-0000-0200-000001000000}" name="Bezeichnung Besond Lstg" dataDxfId="513">
      <calculatedColumnFormula>IF(AND(OR(Projektgrundlagen!$I$26,Projektgrundlagen!$I$27),'StB-D1 Besondere Lstg'!M12=TRUE),'StB-D1 Besondere Lstg'!C12&amp;" "&amp;'StB-D1 Besondere Lstg'!F12&amp;" "&amp;'StB-D1 Besondere Lstg'!F13,"")</calculatedColumnFormula>
    </tableColumn>
    <tableColumn id="3" xr3:uid="{00000000-0010-0000-0200-000003000000}" name="Menge" dataDxfId="512">
      <calculatedColumnFormula>IF(AND(OR(Projektgrundlagen!$I$26,Projektgrundlagen!$I$27),'StB-D1 Besondere Lstg'!M12=TRUE),'StB-D1 Besondere Lstg'!H12,"")</calculatedColumnFormula>
    </tableColumn>
    <tableColumn id="5" xr3:uid="{00000000-0010-0000-0200-000005000000}" name="Einheit" dataDxfId="511">
      <calculatedColumnFormula>IF(AND(OR(Projektgrundlagen!$I$26,Projektgrundlagen!$I$27),'StB-D1 Besondere Lstg'!M12=TRUE),'StB-D1 Besondere Lstg'!I12,"")</calculatedColumnFormula>
    </tableColumn>
    <tableColumn id="4" xr3:uid="{00000000-0010-0000-0200-000004000000}" name="EP-Preis" dataDxfId="510">
      <calculatedColumnFormula>IF(AND(OR(Projektgrundlagen!$I$26,Projektgrundlagen!$I$27),'StB-D1 Besondere Lstg'!M12=TRUE),'StB-D1 Besondere Lstg'!J12,"")</calculatedColumnFormula>
    </tableColumn>
    <tableColumn id="2" xr3:uid="{00000000-0010-0000-0200-000002000000}" name="Netto-GP-Preis" dataDxfId="509">
      <calculatedColumnFormula>IF(AND(OR(Projektgrundlagen!$I$26,Projektgrundlagen!$I$27),'StB-D1 Besondere Lstg'!M12=TRUE),'StB-D1 Besondere Lstg'!K12,"")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8"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5.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5.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5.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7" Type="http://schemas.openxmlformats.org/officeDocument/2006/relationships/ctrlProp" Target="../ctrlProps/ctrlProp70.xml"/><Relationship Id="rId2" Type="http://schemas.openxmlformats.org/officeDocument/2006/relationships/drawing" Target="../drawings/drawing6.xml"/><Relationship Id="rId16" Type="http://schemas.openxmlformats.org/officeDocument/2006/relationships/ctrlProp" Target="../ctrlProps/ctrlProp79.xml"/><Relationship Id="rId29" Type="http://schemas.openxmlformats.org/officeDocument/2006/relationships/ctrlProp" Target="../ctrlProps/ctrlProp92.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 Type="http://schemas.openxmlformats.org/officeDocument/2006/relationships/ctrlProp" Target="../ctrlProps/ctrlProp68.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6.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1" Type="http://schemas.openxmlformats.org/officeDocument/2006/relationships/printerSettings" Target="../printerSettings/printerSettings6.bin"/><Relationship Id="rId6" Type="http://schemas.openxmlformats.org/officeDocument/2006/relationships/ctrlProp" Target="../ctrlProps/ctrlProp69.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3" Type="http://schemas.openxmlformats.org/officeDocument/2006/relationships/vmlDrawing" Target="../drawings/vmlDrawing7.v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 Type="http://schemas.openxmlformats.org/officeDocument/2006/relationships/drawing" Target="../drawings/drawing7.xml"/><Relationship Id="rId16" Type="http://schemas.openxmlformats.org/officeDocument/2006/relationships/ctrlProp" Target="../ctrlProps/ctrlProp130.xml"/><Relationship Id="rId20" Type="http://schemas.openxmlformats.org/officeDocument/2006/relationships/ctrlProp" Target="../ctrlProps/ctrlProp134.xml"/><Relationship Id="rId1" Type="http://schemas.openxmlformats.org/officeDocument/2006/relationships/printerSettings" Target="../printerSettings/printerSettings7.bin"/><Relationship Id="rId6" Type="http://schemas.openxmlformats.org/officeDocument/2006/relationships/ctrlProp" Target="../ctrlProps/ctrlProp120.xml"/><Relationship Id="rId11" Type="http://schemas.openxmlformats.org/officeDocument/2006/relationships/ctrlProp" Target="../ctrlProps/ctrlProp125.xml"/><Relationship Id="rId5" Type="http://schemas.openxmlformats.org/officeDocument/2006/relationships/ctrlProp" Target="../ctrlProps/ctrlProp119.xml"/><Relationship Id="rId15" Type="http://schemas.openxmlformats.org/officeDocument/2006/relationships/ctrlProp" Target="../ctrlProps/ctrlProp129.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3" Type="http://schemas.openxmlformats.org/officeDocument/2006/relationships/vmlDrawing" Target="../drawings/vmlDrawing8.vml"/><Relationship Id="rId7" Type="http://schemas.openxmlformats.org/officeDocument/2006/relationships/ctrlProp" Target="../ctrlProps/ctrlProp138.xml"/><Relationship Id="rId12" Type="http://schemas.openxmlformats.org/officeDocument/2006/relationships/ctrlProp" Target="../ctrlProps/ctrlProp143.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0" Type="http://schemas.openxmlformats.org/officeDocument/2006/relationships/ctrlProp" Target="../ctrlProps/ctrlProp141.xml"/><Relationship Id="rId4" Type="http://schemas.openxmlformats.org/officeDocument/2006/relationships/ctrlProp" Target="../ctrlProps/ctrlProp135.xml"/><Relationship Id="rId9" Type="http://schemas.openxmlformats.org/officeDocument/2006/relationships/ctrlProp" Target="../ctrlProps/ctrlProp1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tabSelected="1" showRuler="0" zoomScaleNormal="100" zoomScaleSheetLayoutView="110" workbookViewId="0">
      <selection activeCell="B6" sqref="B6:G7"/>
    </sheetView>
  </sheetViews>
  <sheetFormatPr baseColWidth="10" defaultColWidth="0" defaultRowHeight="16.5" zeroHeight="1"/>
  <cols>
    <col min="1" max="1" width="5.7265625" style="343" customWidth="1"/>
    <col min="2" max="2" width="5.7265625" style="1" customWidth="1"/>
    <col min="3" max="3" width="3.26953125" style="1" customWidth="1"/>
    <col min="4" max="4" width="5.7265625" style="1" customWidth="1"/>
    <col min="5" max="5" width="48" style="1" customWidth="1"/>
    <col min="6" max="6" width="19" style="1" customWidth="1"/>
    <col min="7" max="7" width="22.26953125" style="1" customWidth="1"/>
    <col min="8" max="8" width="2.7265625" style="1" customWidth="1"/>
    <col min="9" max="9" width="16" style="75" hidden="1" customWidth="1"/>
    <col min="10" max="16384" width="11.26953125" style="1" hidden="1"/>
  </cols>
  <sheetData>
    <row r="1" spans="1:15"/>
    <row r="2" spans="1:15" ht="16.5" customHeight="1">
      <c r="B2" s="876" t="s">
        <v>358</v>
      </c>
      <c r="C2" s="876"/>
      <c r="D2" s="876"/>
      <c r="E2" s="877"/>
      <c r="F2" s="268" t="s">
        <v>649</v>
      </c>
      <c r="G2" s="348" t="s">
        <v>207</v>
      </c>
      <c r="H2" s="878" t="s">
        <v>207</v>
      </c>
      <c r="I2" s="604" t="s">
        <v>39</v>
      </c>
      <c r="K2" s="191"/>
      <c r="L2" s="157" t="s">
        <v>111</v>
      </c>
      <c r="O2" s="147"/>
    </row>
    <row r="3" spans="1:15" ht="16.5" customHeight="1">
      <c r="B3" s="853" t="s">
        <v>283</v>
      </c>
      <c r="C3" s="853"/>
      <c r="D3" s="853"/>
      <c r="E3" s="854"/>
      <c r="F3" s="301" t="s">
        <v>650</v>
      </c>
      <c r="G3" s="282"/>
      <c r="H3" s="878"/>
      <c r="I3" s="150"/>
      <c r="K3" s="134"/>
      <c r="L3" s="1" t="str">
        <f ca="1">MID(CELL("dateiname",A2),FIND("]",CELL("dateiname",A2))+1,255)</f>
        <v>Projektgrundlagen</v>
      </c>
      <c r="O3" s="147"/>
    </row>
    <row r="4" spans="1:15" ht="7.5" customHeight="1">
      <c r="B4" s="307"/>
      <c r="C4" s="307"/>
      <c r="D4" s="307"/>
      <c r="E4" s="307"/>
      <c r="F4" s="283"/>
      <c r="G4" s="739"/>
      <c r="H4" s="878"/>
      <c r="I4" s="150"/>
      <c r="K4" s="134"/>
    </row>
    <row r="5" spans="1:15" ht="16">
      <c r="A5" s="731" t="str">
        <f>IF(OR(E5="",G5=""),"è","")</f>
        <v>è</v>
      </c>
      <c r="B5" s="880" t="s">
        <v>205</v>
      </c>
      <c r="C5" s="881"/>
      <c r="D5" s="881"/>
      <c r="E5" s="676"/>
      <c r="F5" s="293" t="s">
        <v>204</v>
      </c>
      <c r="G5" s="295"/>
      <c r="H5" s="878"/>
      <c r="I5" s="150"/>
    </row>
    <row r="6" spans="1:15" ht="16">
      <c r="A6" s="731" t="str">
        <f>IF(E6="","è","")</f>
        <v/>
      </c>
      <c r="B6" s="882" t="s">
        <v>663</v>
      </c>
      <c r="C6" s="883"/>
      <c r="D6" s="883"/>
      <c r="E6" s="887" t="s">
        <v>664</v>
      </c>
      <c r="F6" s="887"/>
      <c r="G6" s="888"/>
      <c r="H6" s="878"/>
      <c r="K6" s="134"/>
    </row>
    <row r="7" spans="1:15">
      <c r="B7" s="882" t="s">
        <v>203</v>
      </c>
      <c r="C7" s="883"/>
      <c r="D7" s="883"/>
      <c r="E7" s="889" t="s">
        <v>665</v>
      </c>
      <c r="F7" s="889"/>
      <c r="G7" s="890"/>
      <c r="H7" s="878"/>
    </row>
    <row r="8" spans="1:15">
      <c r="B8" s="851" t="s">
        <v>83</v>
      </c>
      <c r="C8" s="852"/>
      <c r="D8" s="852"/>
      <c r="E8" s="891"/>
      <c r="F8" s="891"/>
      <c r="G8" s="892"/>
      <c r="H8" s="878"/>
    </row>
    <row r="9" spans="1:15">
      <c r="G9" s="259"/>
    </row>
    <row r="10" spans="1:15" s="20" customFormat="1" ht="26.25" customHeight="1">
      <c r="A10" s="345"/>
      <c r="B10" s="352"/>
      <c r="C10" s="363" t="s">
        <v>206</v>
      </c>
      <c r="D10" s="364"/>
      <c r="E10" s="364"/>
      <c r="F10" s="365"/>
      <c r="G10" s="353"/>
      <c r="I10" s="605"/>
    </row>
    <row r="11" spans="1:15" ht="7.5" customHeight="1">
      <c r="B11" s="292"/>
      <c r="C11" s="292"/>
      <c r="D11" s="286"/>
      <c r="E11" s="286"/>
      <c r="F11" s="286"/>
      <c r="G11" s="286"/>
      <c r="H11" s="284"/>
      <c r="I11" s="606"/>
    </row>
    <row r="12" spans="1:15" ht="16">
      <c r="A12" s="732"/>
      <c r="B12" s="42">
        <v>1</v>
      </c>
      <c r="C12" s="856" t="s">
        <v>101</v>
      </c>
      <c r="D12" s="857"/>
      <c r="E12" s="857"/>
      <c r="F12" s="7"/>
      <c r="G12" s="24"/>
    </row>
    <row r="13" spans="1:15" ht="16">
      <c r="A13" s="731" t="str">
        <f>IF(COUNTIF($I$13:$I$14,TRUE)&lt;&gt;1,"è","")</f>
        <v/>
      </c>
      <c r="B13" s="232" t="s">
        <v>106</v>
      </c>
      <c r="C13" s="230"/>
      <c r="D13" s="869" t="s">
        <v>659</v>
      </c>
      <c r="E13" s="870"/>
      <c r="F13" s="234"/>
      <c r="G13" s="235"/>
      <c r="I13" s="75" t="b">
        <v>1</v>
      </c>
      <c r="J13" s="726"/>
    </row>
    <row r="14" spans="1:15" ht="16">
      <c r="A14" s="731" t="str">
        <f>IF(COUNTIF($I$13:$I$14,TRUE)&lt;&gt;1,"è","")</f>
        <v/>
      </c>
      <c r="B14" s="231" t="s">
        <v>107</v>
      </c>
      <c r="C14" s="230"/>
      <c r="D14" s="886" t="s">
        <v>359</v>
      </c>
      <c r="E14" s="872"/>
      <c r="F14" s="8"/>
      <c r="G14" s="25"/>
      <c r="I14" s="75" t="b">
        <v>0</v>
      </c>
    </row>
    <row r="15" spans="1:15" ht="16">
      <c r="A15" s="733"/>
      <c r="B15" s="42">
        <v>2</v>
      </c>
      <c r="C15" s="856" t="s">
        <v>102</v>
      </c>
      <c r="D15" s="857"/>
      <c r="E15" s="857"/>
      <c r="F15" s="7"/>
      <c r="G15" s="24"/>
    </row>
    <row r="16" spans="1:15" ht="16">
      <c r="A16" s="731" t="str">
        <f>IF(AND($I$13=FALSE,$I$14,COUNTIF($I$16:$I$17,TRUE)&lt;&gt;1),"è","")</f>
        <v/>
      </c>
      <c r="B16" s="233" t="s">
        <v>108</v>
      </c>
      <c r="C16" s="230"/>
      <c r="D16" s="869" t="s">
        <v>201</v>
      </c>
      <c r="E16" s="870"/>
      <c r="F16" s="234"/>
      <c r="G16" s="235"/>
      <c r="I16" s="75" t="b">
        <v>1</v>
      </c>
    </row>
    <row r="17" spans="1:11" ht="16">
      <c r="A17" s="731" t="str">
        <f>IF(AND($I$13=FALSE,$I$14,COUNTIF($I$16:$I$17,TRUE)&lt;&gt;1),"è","")</f>
        <v/>
      </c>
      <c r="B17" s="231" t="s">
        <v>109</v>
      </c>
      <c r="C17" s="230"/>
      <c r="D17" s="871" t="s">
        <v>103</v>
      </c>
      <c r="E17" s="872"/>
      <c r="F17" s="8"/>
      <c r="G17" s="25"/>
      <c r="I17" s="75" t="b">
        <v>0</v>
      </c>
    </row>
    <row r="18" spans="1:11" ht="16">
      <c r="A18" s="733"/>
      <c r="B18" s="42">
        <v>3</v>
      </c>
      <c r="C18" s="856" t="s">
        <v>393</v>
      </c>
      <c r="D18" s="857"/>
      <c r="E18" s="857"/>
      <c r="F18" s="7"/>
      <c r="G18" s="24"/>
    </row>
    <row r="19" spans="1:11" ht="16">
      <c r="A19" s="731" t="str">
        <f>IF(COUNTIF($I$19:$I$21,TRUE)&lt;&gt;1,"è","")</f>
        <v/>
      </c>
      <c r="B19" s="816" t="s">
        <v>43</v>
      </c>
      <c r="C19" s="230"/>
      <c r="D19" s="858" t="s">
        <v>638</v>
      </c>
      <c r="E19" s="859"/>
      <c r="F19" s="475"/>
      <c r="G19" s="818"/>
      <c r="I19" s="75" t="b">
        <v>0</v>
      </c>
    </row>
    <row r="20" spans="1:11" ht="16">
      <c r="A20" s="731"/>
      <c r="B20" s="817"/>
      <c r="C20" s="820"/>
      <c r="D20" s="811" t="s">
        <v>639</v>
      </c>
      <c r="E20" s="754"/>
      <c r="F20" s="754"/>
      <c r="G20" s="819"/>
    </row>
    <row r="21" spans="1:11" ht="16">
      <c r="A21" s="731" t="str">
        <f>IF(COUNTIF($I$19:$I$21,TRUE)&lt;&gt;1,"è","")</f>
        <v/>
      </c>
      <c r="B21" s="815" t="s">
        <v>214</v>
      </c>
      <c r="C21" s="230"/>
      <c r="D21" s="863" t="s">
        <v>394</v>
      </c>
      <c r="E21" s="864"/>
      <c r="F21" s="864"/>
      <c r="G21" s="865"/>
      <c r="I21" s="75" t="b">
        <v>1</v>
      </c>
    </row>
    <row r="22" spans="1:11" ht="27.75" customHeight="1">
      <c r="A22" s="731" t="str">
        <f>IF(AND($I$13=FALSE,$I$14,COUNTIF($I$16:$I$17,TRUE)&lt;&gt;1),"è","")</f>
        <v/>
      </c>
      <c r="B22" s="231"/>
      <c r="C22" s="820"/>
      <c r="D22" s="860" t="s">
        <v>395</v>
      </c>
      <c r="E22" s="861"/>
      <c r="F22" s="861"/>
      <c r="G22" s="862"/>
    </row>
    <row r="23" spans="1:11">
      <c r="B23" s="14"/>
      <c r="D23" s="14"/>
      <c r="E23" s="14"/>
    </row>
    <row r="24" spans="1:11" ht="26.25" customHeight="1">
      <c r="B24" s="352"/>
      <c r="C24" s="879" t="s">
        <v>221</v>
      </c>
      <c r="D24" s="879"/>
      <c r="E24" s="879"/>
      <c r="F24" s="879"/>
      <c r="G24" s="879"/>
      <c r="I24" s="607" t="s">
        <v>165</v>
      </c>
      <c r="J24" s="7"/>
      <c r="K24" s="24"/>
    </row>
    <row r="25" spans="1:11" ht="7.5" customHeight="1">
      <c r="B25" s="292"/>
      <c r="C25" s="292"/>
      <c r="D25" s="286"/>
      <c r="E25" s="286"/>
      <c r="F25" s="286"/>
      <c r="G25" s="286"/>
      <c r="H25" s="284"/>
      <c r="I25" s="608"/>
      <c r="K25" s="21"/>
    </row>
    <row r="26" spans="1:11">
      <c r="B26" s="237"/>
      <c r="C26" s="289" t="s">
        <v>112</v>
      </c>
      <c r="D26" s="238" t="s">
        <v>236</v>
      </c>
      <c r="E26" s="238"/>
      <c r="F26" s="290" t="s">
        <v>208</v>
      </c>
      <c r="G26" s="239"/>
      <c r="H26" s="11"/>
      <c r="I26" s="609" t="b">
        <f>AND(I13,I14=FALSE,I19)</f>
        <v>0</v>
      </c>
      <c r="J26" s="1" t="s">
        <v>104</v>
      </c>
      <c r="K26" s="21"/>
    </row>
    <row r="27" spans="1:11">
      <c r="B27" s="240"/>
      <c r="C27" s="241" t="s">
        <v>113</v>
      </c>
      <c r="D27" s="849" t="s">
        <v>365</v>
      </c>
      <c r="E27" s="850"/>
      <c r="F27" s="841" t="str">
        <f ca="1">'A Fläche'!L3</f>
        <v>A Fläche</v>
      </c>
      <c r="G27" s="842"/>
      <c r="H27" s="11"/>
      <c r="I27" s="609" t="b">
        <f>AND(I13,I14=FALSE,I21)</f>
        <v>1</v>
      </c>
      <c r="J27" s="1" t="s">
        <v>104</v>
      </c>
      <c r="K27" s="21"/>
    </row>
    <row r="28" spans="1:11">
      <c r="B28" s="240"/>
      <c r="C28" s="241" t="s">
        <v>114</v>
      </c>
      <c r="D28" s="849" t="s">
        <v>239</v>
      </c>
      <c r="E28" s="850"/>
      <c r="F28" s="841" t="str">
        <f ca="1">'B HZone'!N3</f>
        <v>B HZone</v>
      </c>
      <c r="G28" s="842"/>
      <c r="H28" s="11"/>
      <c r="I28" s="609" t="b">
        <f>AND(I13=FALSE,I14,I16,I17=FALSE)</f>
        <v>0</v>
      </c>
      <c r="J28" s="1" t="s">
        <v>230</v>
      </c>
      <c r="K28" s="21"/>
    </row>
    <row r="29" spans="1:11">
      <c r="B29" s="240"/>
      <c r="C29" s="241" t="s">
        <v>134</v>
      </c>
      <c r="D29" s="849" t="s">
        <v>509</v>
      </c>
      <c r="E29" s="850"/>
      <c r="F29" s="841" t="str">
        <f ca="1">'StB-C1 Grundlstg mSt'!O3</f>
        <v>StB-C1 Grundlstg mSt</v>
      </c>
      <c r="G29" s="842"/>
      <c r="H29" s="11"/>
      <c r="I29" s="609" t="b">
        <f>AND(I13=FALSE,I14,I17,I16=FALSE)</f>
        <v>0</v>
      </c>
      <c r="J29" s="1" t="s">
        <v>231</v>
      </c>
      <c r="K29" s="21"/>
    </row>
    <row r="30" spans="1:11">
      <c r="B30" s="240"/>
      <c r="C30" s="241" t="s">
        <v>508</v>
      </c>
      <c r="D30" s="849" t="s">
        <v>510</v>
      </c>
      <c r="E30" s="850"/>
      <c r="F30" s="841" t="str">
        <f ca="1">'StB-C2 Grundlstg oSt'!O3</f>
        <v>StB-C2 Grundlstg oSt</v>
      </c>
      <c r="G30" s="842"/>
      <c r="H30" s="11"/>
      <c r="I30" s="610" t="b">
        <f>IF(AND(I26=FALSE,I27=FALSE,I29=FALSE,I28=FALSE),TRUE,FALSE)</f>
        <v>0</v>
      </c>
      <c r="J30" s="229" t="s">
        <v>137</v>
      </c>
      <c r="K30" s="25"/>
    </row>
    <row r="31" spans="1:11">
      <c r="B31" s="240"/>
      <c r="C31" s="241" t="s">
        <v>135</v>
      </c>
      <c r="D31" s="849" t="s">
        <v>238</v>
      </c>
      <c r="E31" s="850"/>
      <c r="F31" s="841" t="str">
        <f ca="1">'StB-D1 Besondere Lstg'!P3</f>
        <v>StB-D1 Besondere Lstg</v>
      </c>
      <c r="G31" s="842"/>
      <c r="H31" s="11"/>
    </row>
    <row r="32" spans="1:11" ht="16.5" customHeight="1">
      <c r="B32" s="240"/>
      <c r="C32" s="241" t="s">
        <v>115</v>
      </c>
      <c r="D32" s="869" t="s">
        <v>237</v>
      </c>
      <c r="E32" s="870"/>
      <c r="F32" s="841" t="str">
        <f ca="1">'E Honorarberechnung'!P3</f>
        <v>E Honorarberechnung</v>
      </c>
      <c r="G32" s="842"/>
      <c r="H32" s="855" t="s">
        <v>652</v>
      </c>
    </row>
    <row r="33" spans="2:8">
      <c r="B33" s="240"/>
      <c r="C33" s="241" t="s">
        <v>117</v>
      </c>
      <c r="D33" s="869" t="s">
        <v>213</v>
      </c>
      <c r="E33" s="870"/>
      <c r="F33" s="841" t="str">
        <f ca="1">'F Honorarübersicht'!R3</f>
        <v>F Honorarübersicht</v>
      </c>
      <c r="G33" s="842"/>
      <c r="H33" s="855"/>
    </row>
    <row r="34" spans="2:8">
      <c r="B34" s="240"/>
      <c r="C34" s="241" t="s">
        <v>118</v>
      </c>
      <c r="D34" s="869" t="s">
        <v>248</v>
      </c>
      <c r="E34" s="870"/>
      <c r="F34" s="841" t="str">
        <f ca="1">'G Honorarabrechnung'!M3</f>
        <v>G Honorarabrechnung</v>
      </c>
      <c r="G34" s="843"/>
      <c r="H34" s="855"/>
    </row>
    <row r="35" spans="2:8">
      <c r="B35" s="3"/>
      <c r="C35" s="236" t="s">
        <v>119</v>
      </c>
      <c r="D35" s="871" t="s">
        <v>310</v>
      </c>
      <c r="E35" s="872"/>
      <c r="F35" s="844" t="str">
        <f ca="1">'H §31 HOAI'!K3</f>
        <v>H §31 HOAI</v>
      </c>
      <c r="G35" s="845"/>
      <c r="H35" s="855"/>
    </row>
    <row r="36" spans="2:8"/>
    <row r="37" spans="2:8"/>
    <row r="38" spans="2:8"/>
    <row r="39" spans="2:8">
      <c r="B39" s="117" t="s">
        <v>79</v>
      </c>
      <c r="C39" s="117"/>
    </row>
    <row r="40" spans="2:8" ht="17" thickBot="1"/>
    <row r="41" spans="2:8" ht="230.5" customHeight="1" thickTop="1" thickBot="1">
      <c r="B41" s="873" t="s">
        <v>311</v>
      </c>
      <c r="C41" s="874"/>
      <c r="D41" s="874"/>
      <c r="E41" s="874"/>
      <c r="F41" s="874"/>
      <c r="G41" s="875"/>
    </row>
    <row r="42" spans="2:8" ht="17" thickTop="1"/>
    <row r="43" spans="2:8">
      <c r="B43" s="117" t="s">
        <v>100</v>
      </c>
      <c r="C43" s="117"/>
    </row>
    <row r="44" spans="2:8" ht="17" thickBot="1"/>
    <row r="45" spans="2:8" ht="195" customHeight="1" thickTop="1" thickBot="1">
      <c r="B45" s="866" t="s">
        <v>307</v>
      </c>
      <c r="C45" s="867"/>
      <c r="D45" s="867"/>
      <c r="E45" s="867"/>
      <c r="F45" s="867"/>
      <c r="G45" s="868"/>
    </row>
    <row r="46" spans="2:8" ht="17" thickTop="1"/>
    <row r="47" spans="2:8"/>
    <row r="48" spans="2:8"/>
    <row r="49"/>
    <row r="65"/>
    <row r="67"/>
    <row r="68"/>
    <row r="69"/>
    <row r="70"/>
  </sheetData>
  <sheetProtection formatRows="0"/>
  <mergeCells count="33">
    <mergeCell ref="B2:E2"/>
    <mergeCell ref="H2:H8"/>
    <mergeCell ref="D17:E17"/>
    <mergeCell ref="C24:G24"/>
    <mergeCell ref="B5:D5"/>
    <mergeCell ref="B6:D6"/>
    <mergeCell ref="B7:D7"/>
    <mergeCell ref="C12:E12"/>
    <mergeCell ref="D13:E13"/>
    <mergeCell ref="D14:E14"/>
    <mergeCell ref="C15:E15"/>
    <mergeCell ref="D16:E16"/>
    <mergeCell ref="E6:G6"/>
    <mergeCell ref="E7:G7"/>
    <mergeCell ref="E8:G8"/>
    <mergeCell ref="B45:G45"/>
    <mergeCell ref="D33:E33"/>
    <mergeCell ref="D34:E34"/>
    <mergeCell ref="D35:E35"/>
    <mergeCell ref="D32:E32"/>
    <mergeCell ref="B41:G41"/>
    <mergeCell ref="D30:E30"/>
    <mergeCell ref="B8:D8"/>
    <mergeCell ref="B3:E3"/>
    <mergeCell ref="H32:H35"/>
    <mergeCell ref="D31:E31"/>
    <mergeCell ref="D27:E27"/>
    <mergeCell ref="D28:E28"/>
    <mergeCell ref="D29:E29"/>
    <mergeCell ref="C18:E18"/>
    <mergeCell ref="D19:E19"/>
    <mergeCell ref="D22:G22"/>
    <mergeCell ref="D21:G21"/>
  </mergeCells>
  <conditionalFormatting sqref="B29:D29 F29:G29">
    <cfRule type="expression" dxfId="508" priority="23">
      <formula>OR($I$26=FALSE,$I$27)</formula>
    </cfRule>
  </conditionalFormatting>
  <conditionalFormatting sqref="B30:D30 F30:G30">
    <cfRule type="expression" dxfId="507" priority="2">
      <formula>OR($I$27=FALSE,$I$26)</formula>
    </cfRule>
  </conditionalFormatting>
  <conditionalFormatting sqref="B31:F31">
    <cfRule type="expression" dxfId="506" priority="1">
      <formula>AND(NOT($I$26),NOT($I$27))</formula>
    </cfRule>
  </conditionalFormatting>
  <conditionalFormatting sqref="C13">
    <cfRule type="expression" dxfId="505" priority="18">
      <formula>IF(COUNTIF(I13:I14,TRUE)&lt;&gt;1,1,0)</formula>
    </cfRule>
  </conditionalFormatting>
  <conditionalFormatting sqref="C14">
    <cfRule type="expression" dxfId="504" priority="17">
      <formula>IF(COUNTIF(I13:I14,TRUE)&lt;&gt;1,1,0)</formula>
    </cfRule>
  </conditionalFormatting>
  <conditionalFormatting sqref="C16">
    <cfRule type="expression" dxfId="503" priority="14">
      <formula>IF(AND(I14,(COUNTIF(I16:I17,TRUE)&lt;&gt;1)),1,0)</formula>
    </cfRule>
  </conditionalFormatting>
  <conditionalFormatting sqref="C17">
    <cfRule type="expression" dxfId="502" priority="13">
      <formula>IF(AND(I14,(COUNTIF(I16:I17,TRUE)&lt;&gt;1)),1,0)</formula>
    </cfRule>
  </conditionalFormatting>
  <conditionalFormatting sqref="C19 C21">
    <cfRule type="expression" dxfId="501" priority="7">
      <formula>IF(AND($I$13,(COUNTIF($I$19:$I$21,TRUE)&lt;&gt;1)),1,0)</formula>
    </cfRule>
  </conditionalFormatting>
  <conditionalFormatting sqref="C22">
    <cfRule type="expression" dxfId="500" priority="8">
      <formula>IF(AND(I17,(COUNTIF(I19:I22,TRUE)&lt;&gt;1)),1,0)</formula>
    </cfRule>
  </conditionalFormatting>
  <conditionalFormatting sqref="D21">
    <cfRule type="expression" dxfId="499" priority="3">
      <formula>AND($I$21,NOT($I$19))</formula>
    </cfRule>
  </conditionalFormatting>
  <conditionalFormatting sqref="D27">
    <cfRule type="expression" dxfId="498" priority="27">
      <formula>#REF!</formula>
    </cfRule>
  </conditionalFormatting>
  <conditionalFormatting sqref="D19:E19">
    <cfRule type="expression" dxfId="497" priority="5">
      <formula>AND($I$19,NOT($I$21))</formula>
    </cfRule>
  </conditionalFormatting>
  <conditionalFormatting sqref="E5">
    <cfRule type="expression" dxfId="496" priority="12">
      <formula>E$5=""</formula>
    </cfRule>
  </conditionalFormatting>
  <conditionalFormatting sqref="E8">
    <cfRule type="expression" dxfId="495" priority="734">
      <formula>IF($E$8="",TRUE,FALSE)</formula>
    </cfRule>
  </conditionalFormatting>
  <conditionalFormatting sqref="E6:G6">
    <cfRule type="expression" dxfId="494" priority="11">
      <formula>E6=""</formula>
    </cfRule>
  </conditionalFormatting>
  <conditionalFormatting sqref="G5">
    <cfRule type="expression" dxfId="493" priority="10">
      <formula>G5=""</formula>
    </cfRule>
  </conditionalFormatting>
  <hyperlinks>
    <hyperlink ref="F27:G27" location="Link_A_anrKosten" display="Link_A_anrKosten" xr:uid="{00000000-0004-0000-0000-000000000000}"/>
    <hyperlink ref="F28:G28" location="Link_B_HonorarZ" display="Link_B_HonorarZ" xr:uid="{00000000-0004-0000-0000-000001000000}"/>
    <hyperlink ref="F29:G29" location="Link_StBC1_Grundlstg" display="Link_StBC1_Grundlstg" xr:uid="{00000000-0004-0000-0000-000002000000}"/>
    <hyperlink ref="F31:G31" location="Link_StBD1_BesLstg" display="Link_StBD1_BesLstg" xr:uid="{00000000-0004-0000-0000-000003000000}"/>
    <hyperlink ref="F32:G32" location="Link_E_Honorar" display="Link_E_Honorar" xr:uid="{00000000-0004-0000-0000-000004000000}"/>
    <hyperlink ref="F33:G33" location="Link_F_Uebersicht" display="Link_F_Uebersicht" xr:uid="{00000000-0004-0000-0000-000005000000}"/>
    <hyperlink ref="F34" location="Link_G_Abrechnung" display="Link_G_Abrechnung" xr:uid="{00000000-0004-0000-0000-000006000000}"/>
    <hyperlink ref="F35:G35" location="Link_H_HOAI" display="Link_H_HOAI" xr:uid="{00000000-0004-0000-0000-000007000000}"/>
    <hyperlink ref="F30" location="'StB-C2 Grundlstg'!Link_StBC2_Grundlstg" display="'StB-C2 Grundlstg'!Link_StBC2_Grundlstg" xr:uid="{00000000-0004-0000-0000-000008000000}"/>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20</xdr:row>
                    <xdr:rowOff>0</xdr:rowOff>
                  </from>
                  <to>
                    <xdr:col>3</xdr:col>
                    <xdr:colOff>0</xdr:colOff>
                    <xdr:row>21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tabColor theme="0" tint="-4.9989318521683403E-2"/>
    <pageSetUpPr fitToPage="1"/>
  </sheetPr>
  <dimension ref="A1:K37"/>
  <sheetViews>
    <sheetView showGridLines="0" zoomScaleNormal="100" zoomScaleSheetLayoutView="100" workbookViewId="0">
      <selection activeCell="E21" sqref="E21"/>
    </sheetView>
  </sheetViews>
  <sheetFormatPr baseColWidth="10" defaultColWidth="0" defaultRowHeight="12.5" zeroHeight="1"/>
  <cols>
    <col min="1" max="1" width="5.7265625" style="1" customWidth="1"/>
    <col min="2" max="3" width="15.26953125" style="1" customWidth="1"/>
    <col min="4" max="7" width="15.1796875" style="1" customWidth="1"/>
    <col min="8" max="8" width="2.7265625" style="1" customWidth="1"/>
    <col min="9" max="16384" width="11.453125" style="1" hidden="1"/>
  </cols>
  <sheetData>
    <row r="1" spans="2:11" ht="18.75" customHeight="1"/>
    <row r="2" spans="2:11" s="96" customFormat="1" ht="25.5" customHeight="1">
      <c r="B2" s="1096" t="s">
        <v>181</v>
      </c>
      <c r="C2" s="1097"/>
      <c r="D2" s="1097"/>
      <c r="E2" s="1097"/>
      <c r="F2" s="1097"/>
      <c r="G2" s="1098"/>
      <c r="H2" s="1"/>
      <c r="I2" s="1"/>
      <c r="J2" s="1"/>
      <c r="K2" s="157" t="s">
        <v>111</v>
      </c>
    </row>
    <row r="3" spans="2:11" ht="12.75" customHeight="1">
      <c r="K3" s="1" t="str">
        <f ca="1">MID(CELL("dateiname",B4),FIND("]",CELL("dateiname",B4))+1,255)</f>
        <v>H §31 HOAI</v>
      </c>
    </row>
    <row r="4" spans="2:11" ht="15" customHeight="1">
      <c r="B4" s="27" t="s">
        <v>263</v>
      </c>
      <c r="C4" s="28"/>
      <c r="D4" s="28"/>
      <c r="E4" s="283" t="s">
        <v>366</v>
      </c>
      <c r="F4" s="28"/>
      <c r="G4" s="29"/>
      <c r="H4" s="96"/>
      <c r="I4" s="96"/>
      <c r="J4" s="96"/>
    </row>
    <row r="5" spans="2:11" ht="15" customHeight="1"/>
    <row r="6" spans="2:11" ht="12.75" customHeight="1">
      <c r="B6" s="6" t="s">
        <v>364</v>
      </c>
      <c r="C6" s="7"/>
      <c r="D6" s="7"/>
      <c r="E6" s="26">
        <f>'A Fläche'!G20</f>
        <v>101.5</v>
      </c>
      <c r="F6" s="7" t="s">
        <v>40</v>
      </c>
      <c r="G6" s="24"/>
    </row>
    <row r="7" spans="2:11" ht="13">
      <c r="B7" s="97" t="s">
        <v>12</v>
      </c>
      <c r="C7" s="8"/>
      <c r="D7" s="8"/>
      <c r="E7" s="56">
        <f>IF(AND('B HZone'!K12,'B HZone'!K15),0,IF(AND(NOT('B HZone'!K12),NOT('B HZone'!K15)),0,IF(AND('B HZone'!K12,'B HZone'!I13&gt;=1,'B HZone'!I13&lt;=5),'B HZone'!I13,IF(AND('B HZone'!K15,'B HZone'!I36&gt;=1,'B HZone'!I36&lt;=5),'B HZone'!I36,0))))</f>
        <v>2</v>
      </c>
      <c r="F7" s="41"/>
      <c r="G7" s="25"/>
    </row>
    <row r="8" spans="2:11" ht="15" customHeight="1"/>
    <row r="9" spans="2:11" ht="26.5" thickBot="1">
      <c r="C9" s="112" t="s">
        <v>71</v>
      </c>
      <c r="D9" s="112" t="s">
        <v>72</v>
      </c>
      <c r="E9" s="113" t="s">
        <v>73</v>
      </c>
      <c r="F9" s="55" t="s">
        <v>74</v>
      </c>
    </row>
    <row r="10" spans="2:11" ht="12.75" customHeight="1" thickBot="1">
      <c r="B10" s="98" t="s">
        <v>209</v>
      </c>
      <c r="C10" s="99">
        <f>IF(OR(E7&lt;1,E7&gt;5),0,IF(OR(E6&lt;B16,E6&gt;B35),0,VLOOKUP(E6,B16:B35,1)))</f>
        <v>100</v>
      </c>
      <c r="D10" s="100">
        <f>IF(OR(E7&lt;1,E7&gt;5),0,IF(OR(E6&lt;B16,E6&gt;B35),0,VLOOKUP(C10,B16:F35,(E7+1))))</f>
        <v>33859</v>
      </c>
      <c r="E10" s="101">
        <f>IF(OR(E7&lt;1,E7&gt;5),0,IF(OR(E6&lt;B16,E6&gt;B35),0,VLOOKUP(C10,B16:F35,(E7+2))))</f>
        <v>38956</v>
      </c>
      <c r="F10" s="64">
        <f>IF(OR(E7&lt;1,E7&gt;5),0,IF(OR(E6&lt;B16,E6&gt;B35),0,IF(E6=B35,D10,D10+((E6-C10)*(D11-D10))/(C11-C10))))</f>
        <v>34173.805</v>
      </c>
    </row>
    <row r="11" spans="2:11" ht="12.75" customHeight="1">
      <c r="B11" s="97" t="s">
        <v>13</v>
      </c>
      <c r="C11" s="102">
        <f>IF(OR(E7&lt;1,E7&gt;5),0,IF(OR(E6&lt;B16,E6&gt;=B35),0,INDEX($B$16:$B$35,(MATCH(C10,$B$16:$B$35)+1),1)))</f>
        <v>200</v>
      </c>
      <c r="D11" s="103">
        <f>IF(OR(E7&lt;1,E7&gt;5),0,IF(OR(E6&lt;B16,E6&gt;=B35),0,VLOOKUP(C11,B16:F35,(E7+1))))</f>
        <v>54846</v>
      </c>
      <c r="E11" s="104">
        <f>IF(OR(E7&lt;1,E7&gt;5),0,IF(OR(E6&lt;B16,E6&gt;=B35),0,VLOOKUP(C11,B16:F35,(E7+2))))</f>
        <v>63103</v>
      </c>
      <c r="F11" s="105">
        <f>IF(OR(E7&lt;1,E7&gt;5),0,IF(OR(E6&lt;B16,E6&gt;B35),0,IF(E6=B35,E10,E10+((E6-C10)*(E11-E10))/(C11-C10))))</f>
        <v>39318.205000000002</v>
      </c>
    </row>
    <row r="12" spans="2:11" ht="15" customHeight="1"/>
    <row r="13" spans="2:11" ht="23.25" customHeight="1"/>
    <row r="14" spans="2:11" ht="13">
      <c r="B14" s="1093" t="s">
        <v>367</v>
      </c>
      <c r="C14" s="1094"/>
      <c r="D14" s="1094"/>
      <c r="E14" s="1094"/>
      <c r="F14" s="1094"/>
      <c r="G14" s="1095"/>
    </row>
    <row r="15" spans="2:11" ht="37.5">
      <c r="B15" s="812" t="s">
        <v>368</v>
      </c>
      <c r="C15" s="813" t="s">
        <v>75</v>
      </c>
      <c r="D15" s="813" t="s">
        <v>76</v>
      </c>
      <c r="E15" s="813" t="s">
        <v>77</v>
      </c>
      <c r="F15" s="813" t="s">
        <v>369</v>
      </c>
      <c r="G15" s="114"/>
    </row>
    <row r="16" spans="2:11">
      <c r="B16" s="741">
        <v>6</v>
      </c>
      <c r="C16" s="741">
        <v>5324</v>
      </c>
      <c r="D16" s="741">
        <v>6189</v>
      </c>
      <c r="E16" s="741">
        <v>7121</v>
      </c>
      <c r="F16" s="741">
        <v>7986</v>
      </c>
      <c r="G16" s="741"/>
    </row>
    <row r="17" spans="2:7">
      <c r="B17" s="741">
        <v>8</v>
      </c>
      <c r="C17" s="741">
        <v>6130</v>
      </c>
      <c r="D17" s="741">
        <v>7126</v>
      </c>
      <c r="E17" s="741">
        <v>8199</v>
      </c>
      <c r="F17" s="741">
        <v>9195</v>
      </c>
      <c r="G17" s="741"/>
    </row>
    <row r="18" spans="2:7">
      <c r="B18" s="741">
        <v>12</v>
      </c>
      <c r="C18" s="741">
        <v>7600</v>
      </c>
      <c r="D18" s="741">
        <v>8836</v>
      </c>
      <c r="E18" s="741">
        <v>10166</v>
      </c>
      <c r="F18" s="741">
        <v>11401</v>
      </c>
      <c r="G18" s="741"/>
    </row>
    <row r="19" spans="2:7">
      <c r="B19" s="741">
        <v>16</v>
      </c>
      <c r="C19" s="741">
        <v>8947</v>
      </c>
      <c r="D19" s="741">
        <v>10401</v>
      </c>
      <c r="E19" s="741">
        <v>11966</v>
      </c>
      <c r="F19" s="741">
        <v>13420</v>
      </c>
      <c r="G19" s="741"/>
    </row>
    <row r="20" spans="2:7" ht="13" thickBot="1">
      <c r="B20" s="742">
        <v>20</v>
      </c>
      <c r="C20" s="742">
        <v>10207</v>
      </c>
      <c r="D20" s="742">
        <v>11866</v>
      </c>
      <c r="E20" s="742">
        <v>13652</v>
      </c>
      <c r="F20" s="742">
        <v>15311</v>
      </c>
      <c r="G20" s="742"/>
    </row>
    <row r="21" spans="2:7">
      <c r="B21" s="743">
        <v>40</v>
      </c>
      <c r="C21" s="743">
        <v>15755</v>
      </c>
      <c r="D21" s="743">
        <v>18315</v>
      </c>
      <c r="E21" s="743">
        <v>21072</v>
      </c>
      <c r="F21" s="743">
        <v>23632</v>
      </c>
      <c r="G21" s="743"/>
    </row>
    <row r="22" spans="2:7">
      <c r="B22" s="741">
        <v>100</v>
      </c>
      <c r="C22" s="741">
        <v>29126</v>
      </c>
      <c r="D22" s="741">
        <v>33859</v>
      </c>
      <c r="E22" s="741">
        <v>38956</v>
      </c>
      <c r="F22" s="741">
        <v>43689</v>
      </c>
      <c r="G22" s="741"/>
    </row>
    <row r="23" spans="2:7">
      <c r="B23" s="741">
        <v>200</v>
      </c>
      <c r="C23" s="741">
        <v>47180</v>
      </c>
      <c r="D23" s="741">
        <v>54846</v>
      </c>
      <c r="E23" s="741">
        <v>63103</v>
      </c>
      <c r="F23" s="741">
        <v>70769</v>
      </c>
      <c r="G23" s="741"/>
    </row>
    <row r="24" spans="2:7">
      <c r="B24" s="741">
        <v>300</v>
      </c>
      <c r="C24" s="741">
        <v>62748</v>
      </c>
      <c r="D24" s="741">
        <v>72944</v>
      </c>
      <c r="E24" s="741">
        <v>83925</v>
      </c>
      <c r="F24" s="741">
        <v>94121</v>
      </c>
      <c r="G24" s="741"/>
    </row>
    <row r="25" spans="2:7" ht="13" thickBot="1">
      <c r="B25" s="742">
        <v>400</v>
      </c>
      <c r="C25" s="742">
        <v>76829</v>
      </c>
      <c r="D25" s="742">
        <v>89314</v>
      </c>
      <c r="E25" s="742">
        <v>102759</v>
      </c>
      <c r="F25" s="742">
        <v>115244</v>
      </c>
      <c r="G25" s="742"/>
    </row>
    <row r="26" spans="2:7">
      <c r="B26" s="743">
        <v>500</v>
      </c>
      <c r="C26" s="743">
        <v>89855</v>
      </c>
      <c r="D26" s="743">
        <v>104456</v>
      </c>
      <c r="E26" s="743">
        <v>120181</v>
      </c>
      <c r="F26" s="743">
        <v>134782</v>
      </c>
      <c r="G26" s="743"/>
    </row>
    <row r="27" spans="2:7">
      <c r="B27" s="741">
        <v>600</v>
      </c>
      <c r="C27" s="741">
        <v>102062</v>
      </c>
      <c r="D27" s="741">
        <v>118647</v>
      </c>
      <c r="E27" s="741">
        <v>136508</v>
      </c>
      <c r="F27" s="741">
        <v>153093</v>
      </c>
      <c r="G27" s="741"/>
    </row>
    <row r="28" spans="2:7">
      <c r="B28" s="741">
        <v>700</v>
      </c>
      <c r="C28" s="741">
        <v>113602</v>
      </c>
      <c r="D28" s="741">
        <v>132062</v>
      </c>
      <c r="E28" s="741">
        <v>151942</v>
      </c>
      <c r="F28" s="741">
        <v>170402</v>
      </c>
      <c r="G28" s="741"/>
    </row>
    <row r="29" spans="2:7">
      <c r="B29" s="741">
        <v>800</v>
      </c>
      <c r="C29" s="741">
        <v>124575</v>
      </c>
      <c r="D29" s="741">
        <v>144819</v>
      </c>
      <c r="E29" s="741">
        <v>166620</v>
      </c>
      <c r="F29" s="741">
        <v>186863</v>
      </c>
      <c r="G29" s="741"/>
    </row>
    <row r="30" spans="2:7" ht="13" thickBot="1">
      <c r="B30" s="742">
        <v>1200</v>
      </c>
      <c r="C30" s="742">
        <v>167729</v>
      </c>
      <c r="D30" s="742">
        <v>194985</v>
      </c>
      <c r="E30" s="742">
        <v>224338</v>
      </c>
      <c r="F30" s="742">
        <v>251594</v>
      </c>
      <c r="G30" s="742"/>
    </row>
    <row r="31" spans="2:7">
      <c r="B31" s="743">
        <v>1600</v>
      </c>
      <c r="C31" s="743">
        <v>207279</v>
      </c>
      <c r="D31" s="743">
        <v>240961</v>
      </c>
      <c r="E31" s="743">
        <v>277235</v>
      </c>
      <c r="F31" s="743">
        <v>310918</v>
      </c>
      <c r="G31" s="743"/>
    </row>
    <row r="32" spans="2:7">
      <c r="B32" s="741">
        <v>2000</v>
      </c>
      <c r="C32" s="741">
        <v>244349</v>
      </c>
      <c r="D32" s="741">
        <v>284056</v>
      </c>
      <c r="E32" s="741">
        <v>326817</v>
      </c>
      <c r="F32" s="741">
        <v>366524</v>
      </c>
      <c r="G32" s="741"/>
    </row>
    <row r="33" spans="2:7">
      <c r="B33" s="741">
        <v>2400</v>
      </c>
      <c r="C33" s="741">
        <v>279559</v>
      </c>
      <c r="D33" s="741">
        <v>324987</v>
      </c>
      <c r="E33" s="741">
        <v>373910</v>
      </c>
      <c r="F33" s="741">
        <v>419338</v>
      </c>
      <c r="G33" s="741"/>
    </row>
    <row r="34" spans="2:7">
      <c r="B34" s="741">
        <v>3200</v>
      </c>
      <c r="C34" s="741">
        <v>343814</v>
      </c>
      <c r="D34" s="741">
        <v>399683</v>
      </c>
      <c r="E34" s="741">
        <v>459851</v>
      </c>
      <c r="F34" s="741">
        <v>515720</v>
      </c>
      <c r="G34" s="741"/>
    </row>
    <row r="35" spans="2:7">
      <c r="B35" s="741">
        <v>4000</v>
      </c>
      <c r="C35" s="741">
        <v>400847</v>
      </c>
      <c r="D35" s="741">
        <v>465985</v>
      </c>
      <c r="E35" s="741">
        <v>536133</v>
      </c>
      <c r="F35" s="741">
        <v>601270</v>
      </c>
      <c r="G35" s="741"/>
    </row>
    <row r="36" spans="2:7"/>
    <row r="37" spans="2:7"/>
  </sheetData>
  <sheetProtection sheet="1" formatRows="0"/>
  <mergeCells count="2">
    <mergeCell ref="B14:G14"/>
    <mergeCell ref="B2:G2"/>
  </mergeCells>
  <conditionalFormatting sqref="E7">
    <cfRule type="expression" dxfId="0"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5"/>
  <cols>
    <col min="2" max="2" width="47.26953125" customWidth="1"/>
    <col min="3" max="3" width="27.26953125" customWidth="1"/>
    <col min="4" max="4" width="10" customWidth="1"/>
    <col min="6" max="6" width="10" customWidth="1"/>
    <col min="7" max="7" width="11.81640625" bestFit="1" customWidth="1"/>
  </cols>
  <sheetData>
    <row r="2" spans="2:7">
      <c r="B2" t="s">
        <v>101</v>
      </c>
      <c r="C2" t="s">
        <v>313</v>
      </c>
      <c r="D2" t="s">
        <v>314</v>
      </c>
      <c r="E2" t="s">
        <v>315</v>
      </c>
      <c r="F2" t="s">
        <v>316</v>
      </c>
      <c r="G2" t="s">
        <v>175</v>
      </c>
    </row>
    <row r="3" spans="2:7">
      <c r="B3" t="str">
        <f>Projektgrundlagen!F2&amp;" "&amp;Projektgrundlagen!B2</f>
        <v>VII.05.4-LBP Landschaftspflegerischer Begleitplan</v>
      </c>
      <c r="C3">
        <f>Projektgrundlagen!E5</f>
        <v>0</v>
      </c>
      <c r="D3" t="str">
        <f>Projektgrundlagen!E6&amp;" "&amp;Projektgrundlagen!E7</f>
        <v>Mittelfränkischen Eisenbahnbetriebs GmbH   Reaktivierung der Bahnstrecke 5331 im Abschnitt Wilburgstetten - Dombühl für den SPNV</v>
      </c>
      <c r="E3">
        <f>Projektgrundlagen!G5</f>
        <v>0</v>
      </c>
      <c r="F3">
        <f>Projektgrundlagen!E8</f>
        <v>0</v>
      </c>
      <c r="G3" s="798">
        <f>'E Honorarberechnung'!J104</f>
        <v>36193.476875500004</v>
      </c>
    </row>
    <row r="7" spans="2:7">
      <c r="B7" t="s">
        <v>171</v>
      </c>
      <c r="C7" t="s">
        <v>317</v>
      </c>
      <c r="D7" t="s">
        <v>318</v>
      </c>
    </row>
    <row r="8" spans="2:7">
      <c r="B8" s="799" t="s">
        <v>319</v>
      </c>
      <c r="C8" s="800">
        <f>'E Honorarberechnung'!I14</f>
        <v>101.5</v>
      </c>
      <c r="D8">
        <v>1</v>
      </c>
    </row>
    <row r="9" spans="2:7">
      <c r="B9" s="799" t="s">
        <v>320</v>
      </c>
      <c r="C9" s="801">
        <f>'E Honorarberechnung'!I15</f>
        <v>2</v>
      </c>
      <c r="D9">
        <v>2</v>
      </c>
    </row>
    <row r="10" spans="2:7">
      <c r="B10" s="799" t="s">
        <v>321</v>
      </c>
      <c r="C10" s="800">
        <f>'E Honorarberechnung'!J36</f>
        <v>34173.805</v>
      </c>
      <c r="D10">
        <v>3</v>
      </c>
    </row>
    <row r="11" spans="2:7">
      <c r="B11" s="799" t="s">
        <v>322</v>
      </c>
      <c r="C11" s="800">
        <f>'E Honorarberechnung'!I40</f>
        <v>0</v>
      </c>
      <c r="D11">
        <v>4</v>
      </c>
    </row>
    <row r="12" spans="2:7">
      <c r="B12" s="799" t="s">
        <v>323</v>
      </c>
      <c r="C12" s="800">
        <f>'E Honorarberechnung'!I41</f>
        <v>0</v>
      </c>
      <c r="D12">
        <v>5</v>
      </c>
    </row>
    <row r="13" spans="2:7">
      <c r="B13" t="s">
        <v>357</v>
      </c>
      <c r="C13" s="800">
        <f>'E Honorarberechnung'!J43</f>
        <v>34173.805</v>
      </c>
      <c r="D13">
        <v>6</v>
      </c>
    </row>
    <row r="14" spans="2:7">
      <c r="B14" t="s">
        <v>324</v>
      </c>
      <c r="C14" s="800">
        <f>'F Honorarübersicht'!E18</f>
        <v>0</v>
      </c>
      <c r="D14">
        <v>7</v>
      </c>
    </row>
    <row r="15" spans="2:7">
      <c r="B15" t="s">
        <v>325</v>
      </c>
      <c r="C15" s="800">
        <f>'F Honorarübersicht'!H18</f>
        <v>0</v>
      </c>
      <c r="D15">
        <v>8</v>
      </c>
    </row>
    <row r="16" spans="2:7">
      <c r="B16" t="s">
        <v>326</v>
      </c>
      <c r="C16" s="800">
        <f>'F Honorarübersicht'!E19</f>
        <v>29</v>
      </c>
      <c r="D16">
        <v>9</v>
      </c>
    </row>
    <row r="17" spans="2:4">
      <c r="B17" t="s">
        <v>327</v>
      </c>
      <c r="C17" s="800">
        <f>'F Honorarübersicht'!H19</f>
        <v>0</v>
      </c>
      <c r="D17">
        <v>10</v>
      </c>
    </row>
    <row r="18" spans="2:4">
      <c r="B18" t="s">
        <v>328</v>
      </c>
      <c r="C18" s="800">
        <f>'F Honorarübersicht'!E20</f>
        <v>50</v>
      </c>
      <c r="D18">
        <v>11</v>
      </c>
    </row>
    <row r="19" spans="2:4">
      <c r="B19" t="s">
        <v>329</v>
      </c>
      <c r="C19" s="800">
        <f>'F Honorarübersicht'!H20</f>
        <v>0</v>
      </c>
      <c r="D19">
        <v>12</v>
      </c>
    </row>
    <row r="20" spans="2:4">
      <c r="B20" t="s">
        <v>330</v>
      </c>
      <c r="C20" s="800">
        <f>'F Honorarübersicht'!E21</f>
        <v>10</v>
      </c>
      <c r="D20">
        <v>13</v>
      </c>
    </row>
    <row r="21" spans="2:4">
      <c r="B21" t="s">
        <v>331</v>
      </c>
      <c r="C21" s="800">
        <f>'F Honorarübersicht'!H21</f>
        <v>0</v>
      </c>
      <c r="D21">
        <v>14</v>
      </c>
    </row>
    <row r="22" spans="2:4">
      <c r="B22" t="s">
        <v>332</v>
      </c>
      <c r="C22" s="800">
        <f>'F Honorarübersicht'!E23</f>
        <v>0</v>
      </c>
      <c r="D22">
        <v>15</v>
      </c>
    </row>
    <row r="23" spans="2:4">
      <c r="B23" t="s">
        <v>333</v>
      </c>
      <c r="C23" s="800">
        <f>'F Honorarübersicht'!H23</f>
        <v>0</v>
      </c>
      <c r="D23">
        <v>16</v>
      </c>
    </row>
    <row r="24" spans="2:4">
      <c r="B24" t="s">
        <v>334</v>
      </c>
      <c r="C24" s="800">
        <f>'F Honorarübersicht'!E24</f>
        <v>0</v>
      </c>
      <c r="D24">
        <v>17</v>
      </c>
    </row>
    <row r="25" spans="2:4">
      <c r="B25" t="s">
        <v>335</v>
      </c>
      <c r="C25" s="800">
        <f>'F Honorarübersicht'!H24</f>
        <v>0</v>
      </c>
      <c r="D25">
        <v>18</v>
      </c>
    </row>
    <row r="26" spans="2:4">
      <c r="B26" t="s">
        <v>336</v>
      </c>
      <c r="C26" s="800">
        <f>'F Honorarübersicht'!E26</f>
        <v>0</v>
      </c>
      <c r="D26">
        <v>19</v>
      </c>
    </row>
    <row r="27" spans="2:4">
      <c r="B27" t="s">
        <v>337</v>
      </c>
      <c r="C27" s="800">
        <f>'F Honorarübersicht'!H26</f>
        <v>0</v>
      </c>
      <c r="D27">
        <v>20</v>
      </c>
    </row>
    <row r="28" spans="2:4">
      <c r="B28" t="s">
        <v>338</v>
      </c>
      <c r="C28" s="800">
        <f>'F Honorarübersicht'!E28</f>
        <v>0</v>
      </c>
      <c r="D28">
        <v>21</v>
      </c>
    </row>
    <row r="29" spans="2:4">
      <c r="B29" t="s">
        <v>339</v>
      </c>
      <c r="C29" s="800">
        <f>'F Honorarübersicht'!H28</f>
        <v>0</v>
      </c>
      <c r="D29">
        <v>22</v>
      </c>
    </row>
    <row r="30" spans="2:4">
      <c r="B30" t="s">
        <v>340</v>
      </c>
      <c r="C30" s="800">
        <f>'F Honorarübersicht'!E29</f>
        <v>0</v>
      </c>
      <c r="D30">
        <v>23</v>
      </c>
    </row>
    <row r="31" spans="2:4">
      <c r="B31" t="s">
        <v>341</v>
      </c>
      <c r="C31" s="800">
        <f>'F Honorarübersicht'!H29</f>
        <v>0</v>
      </c>
      <c r="D31">
        <v>24</v>
      </c>
    </row>
    <row r="32" spans="2:4" ht="13">
      <c r="B32" s="802" t="s">
        <v>342</v>
      </c>
      <c r="C32" s="803">
        <f>'F Honorarübersicht'!H31</f>
        <v>0</v>
      </c>
      <c r="D32">
        <v>25</v>
      </c>
    </row>
    <row r="33" spans="2:10" ht="13">
      <c r="B33" s="802" t="s">
        <v>343</v>
      </c>
      <c r="C33" s="803">
        <f>'F Honorarübersicht'!I31</f>
        <v>0</v>
      </c>
      <c r="D33">
        <v>26</v>
      </c>
    </row>
    <row r="34" spans="2:10">
      <c r="B34" t="s">
        <v>344</v>
      </c>
      <c r="C34" s="800">
        <f>'F Honorarübersicht'!J31</f>
        <v>0</v>
      </c>
      <c r="D34">
        <v>27</v>
      </c>
    </row>
    <row r="35" spans="2:10">
      <c r="B35" t="s">
        <v>345</v>
      </c>
      <c r="C35" s="800" t="str">
        <f>IF('E Honorarberechnung'!L56,'E Honorarberechnung'!I56*100,"")</f>
        <v/>
      </c>
      <c r="D35">
        <v>28</v>
      </c>
    </row>
    <row r="36" spans="2:10">
      <c r="B36" t="s">
        <v>346</v>
      </c>
      <c r="C36" s="800">
        <f>'F Honorarübersicht'!K31</f>
        <v>0</v>
      </c>
      <c r="D36">
        <v>29</v>
      </c>
      <c r="J36" s="800"/>
    </row>
    <row r="37" spans="2:10">
      <c r="B37" t="s">
        <v>347</v>
      </c>
      <c r="C37" s="800">
        <f>'F Honorarübersicht'!L31</f>
        <v>0</v>
      </c>
      <c r="D37">
        <v>30</v>
      </c>
      <c r="J37" s="800"/>
    </row>
    <row r="38" spans="2:10">
      <c r="B38" t="s">
        <v>348</v>
      </c>
      <c r="C38" s="800">
        <f>'E Honorarberechnung'!I66*100</f>
        <v>19</v>
      </c>
      <c r="D38">
        <v>31</v>
      </c>
      <c r="J38" s="800"/>
    </row>
    <row r="39" spans="2:10">
      <c r="B39" t="s">
        <v>349</v>
      </c>
      <c r="C39" s="800">
        <f>'F Honorarübersicht'!M31</f>
        <v>0</v>
      </c>
      <c r="D39">
        <v>32</v>
      </c>
      <c r="J39" s="800"/>
    </row>
    <row r="40" spans="2:10" ht="13">
      <c r="B40" s="802" t="s">
        <v>350</v>
      </c>
      <c r="C40" s="803">
        <f>'F Honorarübersicht'!N31</f>
        <v>0</v>
      </c>
      <c r="D40">
        <v>33</v>
      </c>
      <c r="J40" s="800"/>
    </row>
    <row r="41" spans="2:10">
      <c r="B41" s="804" t="str">
        <f>"15.1 "&amp;'E Honorarberechnung'!D72</f>
        <v>15.1 Ingenieur nach Ing.-Gesetz</v>
      </c>
      <c r="C41" s="800">
        <f>'E Honorarberechnung'!I72</f>
        <v>0</v>
      </c>
      <c r="D41">
        <v>34</v>
      </c>
      <c r="I41" s="804"/>
      <c r="J41" s="800"/>
    </row>
    <row r="42" spans="2:10">
      <c r="B42" s="804" t="str">
        <f>"17.1 "&amp;'E Honorarberechnung'!D72&amp;"  mit "&amp;'E Honorarberechnung'!I92&amp;" Std."</f>
        <v>17.1 Ingenieur nach Ing.-Gesetz  mit  Std.</v>
      </c>
      <c r="C42" s="800" t="str">
        <f>'E Honorarberechnung'!J92</f>
        <v/>
      </c>
      <c r="D42">
        <v>35</v>
      </c>
      <c r="I42" s="804"/>
      <c r="J42" s="800"/>
    </row>
    <row r="43" spans="2:10">
      <c r="B43" s="804" t="str">
        <f>"15.2 "&amp;'E Honorarberechnung'!D73</f>
        <v>15.2 Techniker</v>
      </c>
      <c r="C43" s="800">
        <f>'E Honorarberechnung'!I73</f>
        <v>0</v>
      </c>
      <c r="D43">
        <v>36</v>
      </c>
      <c r="I43" s="804"/>
      <c r="J43" s="800"/>
    </row>
    <row r="44" spans="2:10">
      <c r="B44" s="804" t="str">
        <f>"17.2 "&amp;'E Honorarberechnung'!D73&amp;"  mit "&amp;'E Honorarberechnung'!I93&amp;" Std."</f>
        <v>17.2 Techniker  mit  Std.</v>
      </c>
      <c r="C44" s="800" t="str">
        <f>'E Honorarberechnung'!J93</f>
        <v/>
      </c>
      <c r="D44">
        <v>37</v>
      </c>
      <c r="I44" s="804"/>
      <c r="J44" s="800"/>
    </row>
    <row r="45" spans="2:10">
      <c r="B45" s="804" t="str">
        <f>"15.3 "&amp;'E Honorarberechnung'!D74</f>
        <v xml:space="preserve">15.3 Technische Zeichner, sonst. Mitarbeiter </v>
      </c>
      <c r="C45" s="800">
        <f>'E Honorarberechnung'!I74</f>
        <v>0</v>
      </c>
      <c r="D45">
        <v>38</v>
      </c>
      <c r="I45" s="804"/>
      <c r="J45" s="800"/>
    </row>
    <row r="46" spans="2:10">
      <c r="B46" s="804" t="str">
        <f>"17.3 "&amp;'E Honorarberechnung'!D74&amp;"  mit "&amp;'E Honorarberechnung'!I94&amp;" Std."</f>
        <v>17.3 Technische Zeichner, sonst. Mitarbeiter   mit  Std.</v>
      </c>
      <c r="C46" s="800" t="str">
        <f>'E Honorarberechnung'!J94</f>
        <v/>
      </c>
      <c r="D46">
        <v>39</v>
      </c>
      <c r="I46" s="804"/>
      <c r="J46" s="800"/>
    </row>
    <row r="47" spans="2:10">
      <c r="B47" s="804" t="str">
        <f>"18 "&amp;'E Honorarberechnung'!C95</f>
        <v xml:space="preserve">18 Sonstige Vereinbarungen: </v>
      </c>
      <c r="C47" s="800" t="str">
        <f>IFERROR('E Honorarberechnung'!J95+'E Honorarberechnung'!J96,"")</f>
        <v/>
      </c>
      <c r="D47">
        <v>40</v>
      </c>
      <c r="I47" s="804"/>
      <c r="J47" s="800"/>
    </row>
    <row r="48" spans="2:10">
      <c r="B48" t="s">
        <v>351</v>
      </c>
      <c r="C48" s="800">
        <f>'E Honorarberechnung'!J101</f>
        <v>30414.686450000001</v>
      </c>
      <c r="D48">
        <v>41</v>
      </c>
      <c r="J48" s="800"/>
    </row>
    <row r="49" spans="2:10">
      <c r="B49" t="s">
        <v>352</v>
      </c>
      <c r="C49" s="800">
        <f>'E Honorarberechnung'!J102</f>
        <v>5778.7904255000003</v>
      </c>
      <c r="D49">
        <v>42</v>
      </c>
      <c r="J49" s="800"/>
    </row>
    <row r="50" spans="2:10" ht="13">
      <c r="B50" s="802" t="s">
        <v>353</v>
      </c>
      <c r="C50" s="803">
        <f>'E Honorarberechnung'!J104</f>
        <v>36193.476875500004</v>
      </c>
      <c r="D50">
        <v>43</v>
      </c>
      <c r="J50" s="800"/>
    </row>
    <row r="51" spans="2:10">
      <c r="C51" s="800"/>
      <c r="E51" s="800"/>
    </row>
    <row r="52" spans="2:10" ht="13">
      <c r="B52" s="802"/>
      <c r="C52" s="803"/>
    </row>
    <row r="53" spans="2:10" ht="13">
      <c r="B53" s="802"/>
      <c r="C53" s="803"/>
    </row>
    <row r="54" spans="2:10" ht="13">
      <c r="B54" s="802"/>
      <c r="C54" s="803"/>
    </row>
    <row r="55" spans="2:10">
      <c r="B55" s="805" t="s">
        <v>354</v>
      </c>
      <c r="C55" s="806" t="s">
        <v>30</v>
      </c>
      <c r="D55" s="806" t="s">
        <v>29</v>
      </c>
      <c r="E55" s="806" t="s">
        <v>355</v>
      </c>
      <c r="F55" s="807" t="s">
        <v>356</v>
      </c>
    </row>
    <row r="56" spans="2:10">
      <c r="B56" t="str">
        <f>IF(AND(OR(Projektgrundlagen!$I$26,Projektgrundlagen!$I$27),'StB-D1 Besondere Lstg'!M12=TRUE),'StB-D1 Besondere Lstg'!C12&amp;" "&amp;'StB-D1 Besondere Lstg'!F12&amp;" "&amp;'StB-D1 Besondere Lstg'!F13,"")</f>
        <v/>
      </c>
      <c r="C56" s="800" t="str">
        <f>IF(AND(OR(Projektgrundlagen!$I$26,Projektgrundlagen!$I$27),'StB-D1 Besondere Lstg'!M12=TRUE),'StB-D1 Besondere Lstg'!H12,"")</f>
        <v/>
      </c>
      <c r="D56" s="800" t="str">
        <f>IF(AND(OR(Projektgrundlagen!$I$26,Projektgrundlagen!$I$27),'StB-D1 Besondere Lstg'!M12=TRUE),'StB-D1 Besondere Lstg'!I12,"")</f>
        <v/>
      </c>
      <c r="E56" s="800" t="str">
        <f>IF(AND(OR(Projektgrundlagen!$I$26,Projektgrundlagen!$I$27),'StB-D1 Besondere Lstg'!M12=TRUE),'StB-D1 Besondere Lstg'!J12,"")</f>
        <v/>
      </c>
      <c r="F56" s="800" t="str">
        <f>IF(AND(OR(Projektgrundlagen!$I$26,Projektgrundlagen!$I$27),'StB-D1 Besondere Lstg'!M12=TRUE),'StB-D1 Besondere Lstg'!K12,"")</f>
        <v/>
      </c>
    </row>
    <row r="57" spans="2:10">
      <c r="B57" t="str">
        <f>IF(AND(OR(Projektgrundlagen!$I$26,Projektgrundlagen!$I$27),'StB-D1 Besondere Lstg'!M13=TRUE),'StB-D1 Besondere Lstg'!C13&amp;" "&amp;'StB-D1 Besondere Lstg'!F13&amp;" "&amp;'StB-D1 Besondere Lstg'!F14,"")</f>
        <v/>
      </c>
      <c r="C57" s="800" t="str">
        <f>IF(AND(OR(Projektgrundlagen!$I$26,Projektgrundlagen!$I$27),'StB-D1 Besondere Lstg'!M13=TRUE),'StB-D1 Besondere Lstg'!H13,"")</f>
        <v/>
      </c>
      <c r="D57" s="800" t="str">
        <f>IF(AND(OR(Projektgrundlagen!$I$26,Projektgrundlagen!$I$27),'StB-D1 Besondere Lstg'!M13=TRUE),'StB-D1 Besondere Lstg'!I13,"")</f>
        <v/>
      </c>
      <c r="E57" s="800" t="str">
        <f>IF(AND(OR(Projektgrundlagen!$I$26,Projektgrundlagen!$I$27),'StB-D1 Besondere Lstg'!M13=TRUE),'StB-D1 Besondere Lstg'!J13,"")</f>
        <v/>
      </c>
      <c r="F57" s="800" t="str">
        <f>IF(AND(OR(Projektgrundlagen!$I$26,Projektgrundlagen!$I$27),'StB-D1 Besondere Lstg'!M13=TRUE),'StB-D1 Besondere Lstg'!K13,"")</f>
        <v/>
      </c>
    </row>
    <row r="58" spans="2:10">
      <c r="B58" t="str">
        <f>IF(AND(OR(Projektgrundlagen!$I$26,Projektgrundlagen!$I$27),'StB-D1 Besondere Lstg'!M14=TRUE),'StB-D1 Besondere Lstg'!C14&amp;" "&amp;'StB-D1 Besondere Lstg'!F14&amp;" "&amp;'StB-D1 Besondere Lstg'!F15,"")</f>
        <v/>
      </c>
      <c r="C58" s="800" t="str">
        <f>IF(AND(OR(Projektgrundlagen!$I$26,Projektgrundlagen!$I$27),'StB-D1 Besondere Lstg'!M14=TRUE),'StB-D1 Besondere Lstg'!H14,"")</f>
        <v/>
      </c>
      <c r="D58" s="800" t="str">
        <f>IF(AND(OR(Projektgrundlagen!$I$26,Projektgrundlagen!$I$27),'StB-D1 Besondere Lstg'!M14=TRUE),'StB-D1 Besondere Lstg'!I14,"")</f>
        <v/>
      </c>
      <c r="E58" s="800" t="str">
        <f>IF(AND(OR(Projektgrundlagen!$I$26,Projektgrundlagen!$I$27),'StB-D1 Besondere Lstg'!M14=TRUE),'StB-D1 Besondere Lstg'!J14,"")</f>
        <v/>
      </c>
      <c r="F58" s="800" t="str">
        <f>IF(AND(OR(Projektgrundlagen!$I$26,Projektgrundlagen!$I$27),'StB-D1 Besondere Lstg'!M14=TRUE),'StB-D1 Besondere Lstg'!K14,"")</f>
        <v/>
      </c>
    </row>
    <row r="59" spans="2:10">
      <c r="B59" t="str">
        <f>IF(AND(OR(Projektgrundlagen!$I$26,Projektgrundlagen!$I$27),'StB-D1 Besondere Lstg'!M15=TRUE),'StB-D1 Besondere Lstg'!C15&amp;" "&amp;'StB-D1 Besondere Lstg'!F15&amp;" "&amp;'StB-D1 Besondere Lstg'!F16,"")</f>
        <v/>
      </c>
      <c r="C59" s="800" t="str">
        <f>IF(AND(OR(Projektgrundlagen!$I$26,Projektgrundlagen!$I$27),'StB-D1 Besondere Lstg'!M15=TRUE),'StB-D1 Besondere Lstg'!H15,"")</f>
        <v/>
      </c>
      <c r="D59" s="800" t="str">
        <f>IF(AND(OR(Projektgrundlagen!$I$26,Projektgrundlagen!$I$27),'StB-D1 Besondere Lstg'!M15=TRUE),'StB-D1 Besondere Lstg'!I15,"")</f>
        <v/>
      </c>
      <c r="E59" s="800" t="str">
        <f>IF(AND(OR(Projektgrundlagen!$I$26,Projektgrundlagen!$I$27),'StB-D1 Besondere Lstg'!M15=TRUE),'StB-D1 Besondere Lstg'!J15,"")</f>
        <v/>
      </c>
      <c r="F59" s="800" t="str">
        <f>IF(AND(OR(Projektgrundlagen!$I$26,Projektgrundlagen!$I$27),'StB-D1 Besondere Lstg'!M15=TRUE),'StB-D1 Besondere Lstg'!K15,"")</f>
        <v/>
      </c>
    </row>
    <row r="60" spans="2:10">
      <c r="B60" t="str">
        <f>IF(AND(OR(Projektgrundlagen!$I$26,Projektgrundlagen!$I$27),'StB-D1 Besondere Lstg'!M16=TRUE),'StB-D1 Besondere Lstg'!C16&amp;" "&amp;'StB-D1 Besondere Lstg'!F16&amp;" "&amp;'StB-D1 Besondere Lstg'!F17,"")</f>
        <v/>
      </c>
      <c r="C60" s="800" t="str">
        <f>IF(AND(OR(Projektgrundlagen!$I$26,Projektgrundlagen!$I$27),'StB-D1 Besondere Lstg'!M16=TRUE),'StB-D1 Besondere Lstg'!H16,"")</f>
        <v/>
      </c>
      <c r="D60" s="800" t="str">
        <f>IF(AND(OR(Projektgrundlagen!$I$26,Projektgrundlagen!$I$27),'StB-D1 Besondere Lstg'!M16=TRUE),'StB-D1 Besondere Lstg'!I16,"")</f>
        <v/>
      </c>
      <c r="E60" s="800" t="str">
        <f>IF(AND(OR(Projektgrundlagen!$I$26,Projektgrundlagen!$I$27),'StB-D1 Besondere Lstg'!M16=TRUE),'StB-D1 Besondere Lstg'!J16,"")</f>
        <v/>
      </c>
      <c r="F60" s="800" t="str">
        <f>IF(AND(OR(Projektgrundlagen!$I$26,Projektgrundlagen!$I$27),'StB-D1 Besondere Lstg'!M16=TRUE),'StB-D1 Besondere Lstg'!K16,"")</f>
        <v/>
      </c>
    </row>
    <row r="61" spans="2:10" ht="16">
      <c r="B61" t="str">
        <f>IF(AND(OR(Projektgrundlagen!$I$26,Projektgrundlagen!$I$27),'StB-D1 Besondere Lstg'!M17=TRUE),'StB-D1 Besondere Lstg'!C17&amp;" "&amp;'StB-D1 Besondere Lstg'!F17&amp;" "&amp;'StB-D1 Besondere Lstg'!F18,"")</f>
        <v/>
      </c>
      <c r="C61" s="800" t="str">
        <f>IF(AND(OR(Projektgrundlagen!$I$26,Projektgrundlagen!$I$27),'StB-D1 Besondere Lstg'!M17=TRUE),'StB-D1 Besondere Lstg'!H17,"")</f>
        <v/>
      </c>
      <c r="D61" s="800" t="str">
        <f>IF(AND(OR(Projektgrundlagen!$I$26,Projektgrundlagen!$I$27),'StB-D1 Besondere Lstg'!M17=TRUE),'StB-D1 Besondere Lstg'!I17,"")</f>
        <v/>
      </c>
      <c r="E61" s="800" t="str">
        <f>IF(AND(OR(Projektgrundlagen!$I$26,Projektgrundlagen!$I$27),'StB-D1 Besondere Lstg'!M17=TRUE),'StB-D1 Besondere Lstg'!J17,"")</f>
        <v/>
      </c>
      <c r="F61" s="800" t="str">
        <f>IF(AND(OR(Projektgrundlagen!$I$26,Projektgrundlagen!$I$27),'StB-D1 Besondere Lstg'!M17=TRUE),'StB-D1 Besondere Lstg'!K17,"")</f>
        <v/>
      </c>
      <c r="G61" s="808"/>
      <c r="H61" s="809"/>
    </row>
    <row r="62" spans="2:10" ht="16">
      <c r="B62" t="str">
        <f>IF(AND(OR(Projektgrundlagen!$I$26,Projektgrundlagen!$I$27),'StB-D1 Besondere Lstg'!M18=TRUE),'StB-D1 Besondere Lstg'!C18&amp;" "&amp;'StB-D1 Besondere Lstg'!F18&amp;" "&amp;'StB-D1 Besondere Lstg'!F19,"")</f>
        <v/>
      </c>
      <c r="C62" s="800" t="str">
        <f>IF(AND(OR(Projektgrundlagen!$I$26,Projektgrundlagen!$I$27),'StB-D1 Besondere Lstg'!M18=TRUE),'StB-D1 Besondere Lstg'!H18,"")</f>
        <v/>
      </c>
      <c r="D62" s="800" t="str">
        <f>IF(AND(OR(Projektgrundlagen!$I$26,Projektgrundlagen!$I$27),'StB-D1 Besondere Lstg'!M18=TRUE),'StB-D1 Besondere Lstg'!I18,"")</f>
        <v/>
      </c>
      <c r="E62" s="800" t="str">
        <f>IF(AND(OR(Projektgrundlagen!$I$26,Projektgrundlagen!$I$27),'StB-D1 Besondere Lstg'!M18=TRUE),'StB-D1 Besondere Lstg'!J18,"")</f>
        <v/>
      </c>
      <c r="F62" s="800" t="str">
        <f>IF(AND(OR(Projektgrundlagen!$I$26,Projektgrundlagen!$I$27),'StB-D1 Besondere Lstg'!M18=TRUE),'StB-D1 Besondere Lstg'!K18,"")</f>
        <v/>
      </c>
      <c r="G62" s="808"/>
      <c r="H62" s="809"/>
    </row>
    <row r="63" spans="2:10" ht="16">
      <c r="B63" t="str">
        <f>IF(AND(OR(Projektgrundlagen!$I$26,Projektgrundlagen!$I$27),'StB-D1 Besondere Lstg'!M19=TRUE),'StB-D1 Besondere Lstg'!C19&amp;" "&amp;'StB-D1 Besondere Lstg'!F19&amp;" "&amp;'StB-D1 Besondere Lstg'!F20,"")</f>
        <v/>
      </c>
      <c r="C63" s="800" t="str">
        <f>IF(AND(OR(Projektgrundlagen!$I$26,Projektgrundlagen!$I$27),'StB-D1 Besondere Lstg'!M19=TRUE),'StB-D1 Besondere Lstg'!H19,"")</f>
        <v/>
      </c>
      <c r="D63" s="800" t="str">
        <f>IF(AND(OR(Projektgrundlagen!$I$26,Projektgrundlagen!$I$27),'StB-D1 Besondere Lstg'!M19=TRUE),'StB-D1 Besondere Lstg'!I19,"")</f>
        <v/>
      </c>
      <c r="E63" s="800" t="str">
        <f>IF(AND(OR(Projektgrundlagen!$I$26,Projektgrundlagen!$I$27),'StB-D1 Besondere Lstg'!M19=TRUE),'StB-D1 Besondere Lstg'!J19,"")</f>
        <v/>
      </c>
      <c r="F63" s="800" t="str">
        <f>IF(AND(OR(Projektgrundlagen!$I$26,Projektgrundlagen!$I$27),'StB-D1 Besondere Lstg'!M19=TRUE),'StB-D1 Besondere Lstg'!K19,"")</f>
        <v/>
      </c>
      <c r="G63" s="808"/>
      <c r="H63" s="809"/>
    </row>
    <row r="64" spans="2:10" ht="16">
      <c r="B64" t="str">
        <f>IF(AND(OR(Projektgrundlagen!$I$26,Projektgrundlagen!$I$27),'StB-D1 Besondere Lstg'!M20=TRUE),'StB-D1 Besondere Lstg'!C20&amp;" "&amp;'StB-D1 Besondere Lstg'!F20&amp;" "&amp;'StB-D1 Besondere Lstg'!F21,"")</f>
        <v/>
      </c>
      <c r="C64" s="800" t="str">
        <f>IF(AND(OR(Projektgrundlagen!$I$26,Projektgrundlagen!$I$27),'StB-D1 Besondere Lstg'!M20=TRUE),'StB-D1 Besondere Lstg'!H20,"")</f>
        <v/>
      </c>
      <c r="D64" s="800" t="str">
        <f>IF(AND(OR(Projektgrundlagen!$I$26,Projektgrundlagen!$I$27),'StB-D1 Besondere Lstg'!M20=TRUE),'StB-D1 Besondere Lstg'!I20,"")</f>
        <v/>
      </c>
      <c r="E64" s="800" t="str">
        <f>IF(AND(OR(Projektgrundlagen!$I$26,Projektgrundlagen!$I$27),'StB-D1 Besondere Lstg'!M20=TRUE),'StB-D1 Besondere Lstg'!J20,"")</f>
        <v/>
      </c>
      <c r="F64" s="800" t="str">
        <f>IF(AND(OR(Projektgrundlagen!$I$26,Projektgrundlagen!$I$27),'StB-D1 Besondere Lstg'!M20=TRUE),'StB-D1 Besondere Lstg'!K20,"")</f>
        <v/>
      </c>
      <c r="G64" s="808"/>
      <c r="H64" s="809"/>
    </row>
    <row r="65" spans="2:8" ht="16">
      <c r="B65" t="str">
        <f>IF(AND(OR(Projektgrundlagen!$I$26,Projektgrundlagen!$I$27),'StB-D1 Besondere Lstg'!M21=TRUE),'StB-D1 Besondere Lstg'!C21&amp;" "&amp;'StB-D1 Besondere Lstg'!F21&amp;" "&amp;'StB-D1 Besondere Lstg'!F22,"")</f>
        <v/>
      </c>
      <c r="C65" s="800" t="str">
        <f>IF(AND(OR(Projektgrundlagen!$I$26,Projektgrundlagen!$I$27),'StB-D1 Besondere Lstg'!M21=TRUE),'StB-D1 Besondere Lstg'!H21,"")</f>
        <v/>
      </c>
      <c r="D65" s="800" t="str">
        <f>IF(AND(OR(Projektgrundlagen!$I$26,Projektgrundlagen!$I$27),'StB-D1 Besondere Lstg'!M21=TRUE),'StB-D1 Besondere Lstg'!I21,"")</f>
        <v/>
      </c>
      <c r="E65" s="800" t="str">
        <f>IF(AND(OR(Projektgrundlagen!$I$26,Projektgrundlagen!$I$27),'StB-D1 Besondere Lstg'!M21=TRUE),'StB-D1 Besondere Lstg'!J21,"")</f>
        <v/>
      </c>
      <c r="F65" s="800" t="str">
        <f>IF(AND(OR(Projektgrundlagen!$I$26,Projektgrundlagen!$I$27),'StB-D1 Besondere Lstg'!M21=TRUE),'StB-D1 Besondere Lstg'!K21,"")</f>
        <v/>
      </c>
      <c r="G65" s="808"/>
      <c r="H65" s="809"/>
    </row>
    <row r="66" spans="2:8" ht="16">
      <c r="B66" t="str">
        <f>IF(AND(OR(Projektgrundlagen!$I$26,Projektgrundlagen!$I$27),'StB-D1 Besondere Lstg'!M22=TRUE),'StB-D1 Besondere Lstg'!C22&amp;" "&amp;'StB-D1 Besondere Lstg'!F22&amp;" "&amp;'StB-D1 Besondere Lstg'!F23,"")</f>
        <v/>
      </c>
      <c r="C66" s="800" t="str">
        <f>IF(AND(OR(Projektgrundlagen!$I$26,Projektgrundlagen!$I$27),'StB-D1 Besondere Lstg'!M22=TRUE),'StB-D1 Besondere Lstg'!H22,"")</f>
        <v/>
      </c>
      <c r="D66" s="800" t="str">
        <f>IF(AND(OR(Projektgrundlagen!$I$26,Projektgrundlagen!$I$27),'StB-D1 Besondere Lstg'!M22=TRUE),'StB-D1 Besondere Lstg'!I22,"")</f>
        <v/>
      </c>
      <c r="E66" s="800" t="str">
        <f>IF(AND(OR(Projektgrundlagen!$I$26,Projektgrundlagen!$I$27),'StB-D1 Besondere Lstg'!M22=TRUE),'StB-D1 Besondere Lstg'!J22,"")</f>
        <v/>
      </c>
      <c r="F66" s="800" t="str">
        <f>IF(AND(OR(Projektgrundlagen!$I$26,Projektgrundlagen!$I$27),'StB-D1 Besondere Lstg'!M22=TRUE),'StB-D1 Besondere Lstg'!K22,"")</f>
        <v/>
      </c>
      <c r="G66" s="808"/>
      <c r="H66" s="809"/>
    </row>
    <row r="67" spans="2:8" ht="16">
      <c r="B67" t="str">
        <f>IF(AND(OR(Projektgrundlagen!$I$26,Projektgrundlagen!$I$27),'StB-D1 Besondere Lstg'!M23=TRUE),'StB-D1 Besondere Lstg'!C23&amp;" "&amp;'StB-D1 Besondere Lstg'!F23&amp;" "&amp;'StB-D1 Besondere Lstg'!F24,"")</f>
        <v/>
      </c>
      <c r="C67" s="800" t="str">
        <f>IF(AND(OR(Projektgrundlagen!$I$26,Projektgrundlagen!$I$27),'StB-D1 Besondere Lstg'!M23=TRUE),'StB-D1 Besondere Lstg'!H23,"")</f>
        <v/>
      </c>
      <c r="D67" s="800" t="str">
        <f>IF(AND(OR(Projektgrundlagen!$I$26,Projektgrundlagen!$I$27),'StB-D1 Besondere Lstg'!M23=TRUE),'StB-D1 Besondere Lstg'!I23,"")</f>
        <v/>
      </c>
      <c r="E67" s="800" t="str">
        <f>IF(AND(OR(Projektgrundlagen!$I$26,Projektgrundlagen!$I$27),'StB-D1 Besondere Lstg'!M23=TRUE),'StB-D1 Besondere Lstg'!J23,"")</f>
        <v/>
      </c>
      <c r="F67" s="800" t="str">
        <f>IF(AND(OR(Projektgrundlagen!$I$26,Projektgrundlagen!$I$27),'StB-D1 Besondere Lstg'!M23=TRUE),'StB-D1 Besondere Lstg'!K23,"")</f>
        <v/>
      </c>
      <c r="G67" s="808"/>
      <c r="H67" s="809"/>
    </row>
    <row r="68" spans="2:8" ht="16">
      <c r="B68" t="str">
        <f>IF(AND(OR(Projektgrundlagen!$I$26,Projektgrundlagen!$I$27),'StB-D1 Besondere Lstg'!M24=TRUE),'StB-D1 Besondere Lstg'!C24&amp;" "&amp;'StB-D1 Besondere Lstg'!F24&amp;" "&amp;'StB-D1 Besondere Lstg'!F25,"")</f>
        <v/>
      </c>
      <c r="C68" s="800" t="str">
        <f>IF(AND(OR(Projektgrundlagen!$I$26,Projektgrundlagen!$I$27),'StB-D1 Besondere Lstg'!M24=TRUE),'StB-D1 Besondere Lstg'!H24,"")</f>
        <v/>
      </c>
      <c r="D68" s="800" t="str">
        <f>IF(AND(OR(Projektgrundlagen!$I$26,Projektgrundlagen!$I$27),'StB-D1 Besondere Lstg'!M24=TRUE),'StB-D1 Besondere Lstg'!I24,"")</f>
        <v/>
      </c>
      <c r="E68" s="800" t="str">
        <f>IF(AND(OR(Projektgrundlagen!$I$26,Projektgrundlagen!$I$27),'StB-D1 Besondere Lstg'!M24=TRUE),'StB-D1 Besondere Lstg'!J24,"")</f>
        <v/>
      </c>
      <c r="F68" s="800" t="str">
        <f>IF(AND(OR(Projektgrundlagen!$I$26,Projektgrundlagen!$I$27),'StB-D1 Besondere Lstg'!M24=TRUE),'StB-D1 Besondere Lstg'!K24,"")</f>
        <v/>
      </c>
      <c r="G68" s="808"/>
      <c r="H68" s="809"/>
    </row>
    <row r="69" spans="2:8" ht="16">
      <c r="B69" t="str">
        <f>IF(AND(OR(Projektgrundlagen!$I$26,Projektgrundlagen!$I$27),'StB-D1 Besondere Lstg'!M25=TRUE),'StB-D1 Besondere Lstg'!C25&amp;" "&amp;'StB-D1 Besondere Lstg'!F25&amp;" "&amp;'StB-D1 Besondere Lstg'!F26,"")</f>
        <v/>
      </c>
      <c r="C69" s="800" t="str">
        <f>IF(AND(OR(Projektgrundlagen!$I$26,Projektgrundlagen!$I$27),'StB-D1 Besondere Lstg'!M25=TRUE),'StB-D1 Besondere Lstg'!H25,"")</f>
        <v/>
      </c>
      <c r="D69" s="800" t="str">
        <f>IF(AND(OR(Projektgrundlagen!$I$26,Projektgrundlagen!$I$27),'StB-D1 Besondere Lstg'!M25=TRUE),'StB-D1 Besondere Lstg'!I25,"")</f>
        <v/>
      </c>
      <c r="E69" s="800" t="str">
        <f>IF(AND(OR(Projektgrundlagen!$I$26,Projektgrundlagen!$I$27),'StB-D1 Besondere Lstg'!M25=TRUE),'StB-D1 Besondere Lstg'!J25,"")</f>
        <v/>
      </c>
      <c r="F69" s="800" t="str">
        <f>IF(AND(OR(Projektgrundlagen!$I$26,Projektgrundlagen!$I$27),'StB-D1 Besondere Lstg'!M25=TRUE),'StB-D1 Besondere Lstg'!K25,"")</f>
        <v/>
      </c>
      <c r="G69" s="808"/>
      <c r="H69" s="809"/>
    </row>
    <row r="70" spans="2:8" ht="16">
      <c r="B70" t="str">
        <f>IF(AND(OR(Projektgrundlagen!$I$26,Projektgrundlagen!$I$27),'StB-D1 Besondere Lstg'!M26=TRUE),'StB-D1 Besondere Lstg'!C26&amp;" "&amp;'StB-D1 Besondere Lstg'!F26&amp;" "&amp;'StB-D1 Besondere Lstg'!F27,"")</f>
        <v/>
      </c>
      <c r="C70" s="800" t="str">
        <f>IF(AND(OR(Projektgrundlagen!$I$26,Projektgrundlagen!$I$27),'StB-D1 Besondere Lstg'!M26=TRUE),'StB-D1 Besondere Lstg'!H26,"")</f>
        <v/>
      </c>
      <c r="D70" s="800" t="str">
        <f>IF(AND(OR(Projektgrundlagen!$I$26,Projektgrundlagen!$I$27),'StB-D1 Besondere Lstg'!M26=TRUE),'StB-D1 Besondere Lstg'!I26,"")</f>
        <v/>
      </c>
      <c r="E70" s="800" t="str">
        <f>IF(AND(OR(Projektgrundlagen!$I$26,Projektgrundlagen!$I$27),'StB-D1 Besondere Lstg'!M26=TRUE),'StB-D1 Besondere Lstg'!J26,"")</f>
        <v/>
      </c>
      <c r="F70" s="800" t="str">
        <f>IF(AND(OR(Projektgrundlagen!$I$26,Projektgrundlagen!$I$27),'StB-D1 Besondere Lstg'!M26=TRUE),'StB-D1 Besondere Lstg'!K26,"")</f>
        <v/>
      </c>
      <c r="G70" s="808"/>
      <c r="H70" s="809"/>
    </row>
    <row r="71" spans="2:8" ht="16">
      <c r="B71" t="str">
        <f>IF(AND(OR(Projektgrundlagen!$I$26,Projektgrundlagen!$I$27),'StB-D1 Besondere Lstg'!M27=TRUE),'StB-D1 Besondere Lstg'!C27&amp;" "&amp;'StB-D1 Besondere Lstg'!F27&amp;" "&amp;'StB-D1 Besondere Lstg'!F28,"")</f>
        <v/>
      </c>
      <c r="C71" s="800" t="str">
        <f>IF(AND(OR(Projektgrundlagen!$I$26,Projektgrundlagen!$I$27),'StB-D1 Besondere Lstg'!M27=TRUE),'StB-D1 Besondere Lstg'!H27,"")</f>
        <v/>
      </c>
      <c r="D71" s="800" t="str">
        <f>IF(AND(OR(Projektgrundlagen!$I$26,Projektgrundlagen!$I$27),'StB-D1 Besondere Lstg'!M27=TRUE),'StB-D1 Besondere Lstg'!I27,"")</f>
        <v/>
      </c>
      <c r="E71" s="800" t="str">
        <f>IF(AND(OR(Projektgrundlagen!$I$26,Projektgrundlagen!$I$27),'StB-D1 Besondere Lstg'!M27=TRUE),'StB-D1 Besondere Lstg'!J27,"")</f>
        <v/>
      </c>
      <c r="F71" s="800" t="str">
        <f>IF(AND(OR(Projektgrundlagen!$I$26,Projektgrundlagen!$I$27),'StB-D1 Besondere Lstg'!M27=TRUE),'StB-D1 Besondere Lstg'!K27,"")</f>
        <v/>
      </c>
      <c r="G71" s="808"/>
      <c r="H71" s="809"/>
    </row>
    <row r="72" spans="2:8" ht="16">
      <c r="B72" t="str">
        <f>IF(AND(OR(Projektgrundlagen!$I$26,Projektgrundlagen!$I$27),'StB-D1 Besondere Lstg'!M28=TRUE),'StB-D1 Besondere Lstg'!C28&amp;" "&amp;'StB-D1 Besondere Lstg'!F28&amp;" "&amp;'StB-D1 Besondere Lstg'!F29,"")</f>
        <v/>
      </c>
      <c r="C72" s="800" t="str">
        <f>IF(AND(OR(Projektgrundlagen!$I$26,Projektgrundlagen!$I$27),'StB-D1 Besondere Lstg'!M28=TRUE),'StB-D1 Besondere Lstg'!H28,"")</f>
        <v/>
      </c>
      <c r="D72" s="800" t="str">
        <f>IF(AND(OR(Projektgrundlagen!$I$26,Projektgrundlagen!$I$27),'StB-D1 Besondere Lstg'!M28=TRUE),'StB-D1 Besondere Lstg'!I28,"")</f>
        <v/>
      </c>
      <c r="E72" s="800" t="str">
        <f>IF(AND(OR(Projektgrundlagen!$I$26,Projektgrundlagen!$I$27),'StB-D1 Besondere Lstg'!M28=TRUE),'StB-D1 Besondere Lstg'!J28,"")</f>
        <v/>
      </c>
      <c r="F72" s="800" t="str">
        <f>IF(AND(OR(Projektgrundlagen!$I$26,Projektgrundlagen!$I$27),'StB-D1 Besondere Lstg'!M28=TRUE),'StB-D1 Besondere Lstg'!K28,"")</f>
        <v/>
      </c>
      <c r="G72" s="808"/>
      <c r="H72" s="809"/>
    </row>
    <row r="73" spans="2:8" ht="16">
      <c r="B73" t="str">
        <f>IF(AND(OR(Projektgrundlagen!$I$26,Projektgrundlagen!$I$27),'StB-D1 Besondere Lstg'!M29=TRUE),'StB-D1 Besondere Lstg'!C29&amp;" "&amp;'StB-D1 Besondere Lstg'!F29&amp;" "&amp;'StB-D1 Besondere Lstg'!F30,"")</f>
        <v/>
      </c>
      <c r="C73" s="800" t="str">
        <f>IF(AND(OR(Projektgrundlagen!$I$26,Projektgrundlagen!$I$27),'StB-D1 Besondere Lstg'!M29=TRUE),'StB-D1 Besondere Lstg'!H29,"")</f>
        <v/>
      </c>
      <c r="D73" s="800" t="str">
        <f>IF(AND(OR(Projektgrundlagen!$I$26,Projektgrundlagen!$I$27),'StB-D1 Besondere Lstg'!M29=TRUE),'StB-D1 Besondere Lstg'!I29,"")</f>
        <v/>
      </c>
      <c r="E73" s="800" t="str">
        <f>IF(AND(OR(Projektgrundlagen!$I$26,Projektgrundlagen!$I$27),'StB-D1 Besondere Lstg'!M29=TRUE),'StB-D1 Besondere Lstg'!J29,"")</f>
        <v/>
      </c>
      <c r="F73" s="800" t="str">
        <f>IF(AND(OR(Projektgrundlagen!$I$26,Projektgrundlagen!$I$27),'StB-D1 Besondere Lstg'!M29=TRUE),'StB-D1 Besondere Lstg'!K29,"")</f>
        <v/>
      </c>
      <c r="G73" s="808"/>
      <c r="H73" s="809"/>
    </row>
    <row r="74" spans="2:8" ht="16">
      <c r="B74" t="str">
        <f>IF(AND(OR(Projektgrundlagen!$I$26,Projektgrundlagen!$I$27),'StB-D1 Besondere Lstg'!M30=TRUE),'StB-D1 Besondere Lstg'!C30&amp;" "&amp;'StB-D1 Besondere Lstg'!F30&amp;" "&amp;'StB-D1 Besondere Lstg'!F31,"")</f>
        <v/>
      </c>
      <c r="C74" s="800" t="str">
        <f>IF(AND(OR(Projektgrundlagen!$I$26,Projektgrundlagen!$I$27),'StB-D1 Besondere Lstg'!M30=TRUE),'StB-D1 Besondere Lstg'!H30,"")</f>
        <v/>
      </c>
      <c r="D74" s="800" t="str">
        <f>IF(AND(OR(Projektgrundlagen!$I$26,Projektgrundlagen!$I$27),'StB-D1 Besondere Lstg'!M30=TRUE),'StB-D1 Besondere Lstg'!I30,"")</f>
        <v/>
      </c>
      <c r="E74" s="800" t="str">
        <f>IF(AND(OR(Projektgrundlagen!$I$26,Projektgrundlagen!$I$27),'StB-D1 Besondere Lstg'!M30=TRUE),'StB-D1 Besondere Lstg'!J30,"")</f>
        <v/>
      </c>
      <c r="F74" s="800" t="str">
        <f>IF(AND(OR(Projektgrundlagen!$I$26,Projektgrundlagen!$I$27),'StB-D1 Besondere Lstg'!M30=TRUE),'StB-D1 Besondere Lstg'!K30,"")</f>
        <v/>
      </c>
      <c r="G74" s="808"/>
      <c r="H74" s="809"/>
    </row>
    <row r="75" spans="2:8" ht="16">
      <c r="B75" t="str">
        <f>IF(AND(OR(Projektgrundlagen!$I$26,Projektgrundlagen!$I$27),'StB-D1 Besondere Lstg'!M31=TRUE),'StB-D1 Besondere Lstg'!C31&amp;" "&amp;'StB-D1 Besondere Lstg'!F31&amp;" "&amp;'StB-D1 Besondere Lstg'!F32,"")</f>
        <v/>
      </c>
      <c r="C75" s="800" t="str">
        <f>IF(AND(OR(Projektgrundlagen!$I$26,Projektgrundlagen!$I$27),'StB-D1 Besondere Lstg'!M31=TRUE),'StB-D1 Besondere Lstg'!H31,"")</f>
        <v/>
      </c>
      <c r="D75" s="800" t="str">
        <f>IF(AND(OR(Projektgrundlagen!$I$26,Projektgrundlagen!$I$27),'StB-D1 Besondere Lstg'!M31=TRUE),'StB-D1 Besondere Lstg'!I31,"")</f>
        <v/>
      </c>
      <c r="E75" s="800" t="str">
        <f>IF(AND(OR(Projektgrundlagen!$I$26,Projektgrundlagen!$I$27),'StB-D1 Besondere Lstg'!M31=TRUE),'StB-D1 Besondere Lstg'!J31,"")</f>
        <v/>
      </c>
      <c r="F75" s="800" t="str">
        <f>IF(AND(OR(Projektgrundlagen!$I$26,Projektgrundlagen!$I$27),'StB-D1 Besondere Lstg'!M31=TRUE),'StB-D1 Besondere Lstg'!K31,"")</f>
        <v/>
      </c>
      <c r="G75" s="808"/>
      <c r="H75" s="809"/>
    </row>
    <row r="76" spans="2:8" ht="16">
      <c r="B76" t="str">
        <f>IF(AND(OR(Projektgrundlagen!$I$26,Projektgrundlagen!$I$27),'StB-D1 Besondere Lstg'!M32=TRUE),'StB-D1 Besondere Lstg'!C32&amp;" "&amp;'StB-D1 Besondere Lstg'!F32&amp;" "&amp;'StB-D1 Besondere Lstg'!F33,"")</f>
        <v/>
      </c>
      <c r="C76" s="800" t="str">
        <f>IF(AND(OR(Projektgrundlagen!$I$26,Projektgrundlagen!$I$27),'StB-D1 Besondere Lstg'!M32=TRUE),'StB-D1 Besondere Lstg'!H32,"")</f>
        <v/>
      </c>
      <c r="D76" s="800" t="str">
        <f>IF(AND(OR(Projektgrundlagen!$I$26,Projektgrundlagen!$I$27),'StB-D1 Besondere Lstg'!M32=TRUE),'StB-D1 Besondere Lstg'!I32,"")</f>
        <v/>
      </c>
      <c r="E76" s="800" t="str">
        <f>IF(AND(OR(Projektgrundlagen!$I$26,Projektgrundlagen!$I$27),'StB-D1 Besondere Lstg'!M32=TRUE),'StB-D1 Besondere Lstg'!J32,"")</f>
        <v/>
      </c>
      <c r="F76" s="800" t="str">
        <f>IF(AND(OR(Projektgrundlagen!$I$26,Projektgrundlagen!$I$27),'StB-D1 Besondere Lstg'!M32=TRUE),'StB-D1 Besondere Lstg'!K32,"")</f>
        <v/>
      </c>
      <c r="G76" s="808"/>
      <c r="H76" s="809"/>
    </row>
    <row r="77" spans="2:8" ht="16">
      <c r="B77" t="str">
        <f>IF(AND(OR(Projektgrundlagen!$I$26,Projektgrundlagen!$I$27),'StB-D1 Besondere Lstg'!M33=TRUE),'StB-D1 Besondere Lstg'!C33&amp;" "&amp;'StB-D1 Besondere Lstg'!F33&amp;" "&amp;'StB-D1 Besondere Lstg'!F34,"")</f>
        <v/>
      </c>
      <c r="C77" s="800" t="str">
        <f>IF(AND(OR(Projektgrundlagen!$I$26,Projektgrundlagen!$I$27),'StB-D1 Besondere Lstg'!M33=TRUE),'StB-D1 Besondere Lstg'!H33,"")</f>
        <v/>
      </c>
      <c r="D77" s="800" t="str">
        <f>IF(AND(OR(Projektgrundlagen!$I$26,Projektgrundlagen!$I$27),'StB-D1 Besondere Lstg'!M33=TRUE),'StB-D1 Besondere Lstg'!I33,"")</f>
        <v/>
      </c>
      <c r="E77" s="800" t="str">
        <f>IF(AND(OR(Projektgrundlagen!$I$26,Projektgrundlagen!$I$27),'StB-D1 Besondere Lstg'!M33=TRUE),'StB-D1 Besondere Lstg'!J33,"")</f>
        <v/>
      </c>
      <c r="F77" s="800" t="str">
        <f>IF(AND(OR(Projektgrundlagen!$I$26,Projektgrundlagen!$I$27),'StB-D1 Besondere Lstg'!M33=TRUE),'StB-D1 Besondere Lstg'!K33,"")</f>
        <v/>
      </c>
      <c r="G77" s="808"/>
      <c r="H77" s="809"/>
    </row>
    <row r="78" spans="2:8" ht="16">
      <c r="B78" t="str">
        <f>IF(AND(OR(Projektgrundlagen!$I$26,Projektgrundlagen!$I$27),'StB-D1 Besondere Lstg'!M34=TRUE),'StB-D1 Besondere Lstg'!C34&amp;" "&amp;'StB-D1 Besondere Lstg'!F34&amp;" "&amp;'StB-D1 Besondere Lstg'!F35,"")</f>
        <v/>
      </c>
      <c r="C78" s="800" t="str">
        <f>IF(AND(OR(Projektgrundlagen!$I$26,Projektgrundlagen!$I$27),'StB-D1 Besondere Lstg'!M34=TRUE),'StB-D1 Besondere Lstg'!H34,"")</f>
        <v/>
      </c>
      <c r="D78" s="800" t="str">
        <f>IF(AND(OR(Projektgrundlagen!$I$26,Projektgrundlagen!$I$27),'StB-D1 Besondere Lstg'!M34=TRUE),'StB-D1 Besondere Lstg'!I34,"")</f>
        <v/>
      </c>
      <c r="E78" s="800" t="str">
        <f>IF(AND(OR(Projektgrundlagen!$I$26,Projektgrundlagen!$I$27),'StB-D1 Besondere Lstg'!M34=TRUE),'StB-D1 Besondere Lstg'!J34,"")</f>
        <v/>
      </c>
      <c r="F78" s="800" t="str">
        <f>IF(AND(OR(Projektgrundlagen!$I$26,Projektgrundlagen!$I$27),'StB-D1 Besondere Lstg'!M34=TRUE),'StB-D1 Besondere Lstg'!K34,"")</f>
        <v/>
      </c>
      <c r="G78" s="808"/>
      <c r="H78" s="809"/>
    </row>
    <row r="79" spans="2:8" ht="16">
      <c r="B79" t="str">
        <f>IF(AND(OR(Projektgrundlagen!$I$26,Projektgrundlagen!$I$27),'StB-D1 Besondere Lstg'!M35=TRUE),'StB-D1 Besondere Lstg'!C35&amp;" "&amp;'StB-D1 Besondere Lstg'!F35&amp;" "&amp;'StB-D1 Besondere Lstg'!F36,"")</f>
        <v/>
      </c>
      <c r="C79" s="800" t="str">
        <f>IF(AND(OR(Projektgrundlagen!$I$26,Projektgrundlagen!$I$27),'StB-D1 Besondere Lstg'!M35=TRUE),'StB-D1 Besondere Lstg'!H35,"")</f>
        <v/>
      </c>
      <c r="D79" s="800" t="str">
        <f>IF(AND(OR(Projektgrundlagen!$I$26,Projektgrundlagen!$I$27),'StB-D1 Besondere Lstg'!M35=TRUE),'StB-D1 Besondere Lstg'!I35,"")</f>
        <v/>
      </c>
      <c r="E79" s="800" t="str">
        <f>IF(AND(OR(Projektgrundlagen!$I$26,Projektgrundlagen!$I$27),'StB-D1 Besondere Lstg'!M35=TRUE),'StB-D1 Besondere Lstg'!J35,"")</f>
        <v/>
      </c>
      <c r="F79" s="800" t="str">
        <f>IF(AND(OR(Projektgrundlagen!$I$26,Projektgrundlagen!$I$27),'StB-D1 Besondere Lstg'!M35=TRUE),'StB-D1 Besondere Lstg'!K35,"")</f>
        <v/>
      </c>
      <c r="G79" s="808"/>
      <c r="H79" s="809"/>
    </row>
    <row r="80" spans="2:8" ht="16">
      <c r="B80" t="str">
        <f>IF(AND(OR(Projektgrundlagen!$I$26,Projektgrundlagen!$I$27),'StB-D1 Besondere Lstg'!M36=TRUE),'StB-D1 Besondere Lstg'!C36&amp;" "&amp;'StB-D1 Besondere Lstg'!F36&amp;" "&amp;'StB-D1 Besondere Lstg'!F37,"")</f>
        <v/>
      </c>
      <c r="C80" s="800" t="str">
        <f>IF(AND(OR(Projektgrundlagen!$I$26,Projektgrundlagen!$I$27),'StB-D1 Besondere Lstg'!M36=TRUE),'StB-D1 Besondere Lstg'!H36,"")</f>
        <v/>
      </c>
      <c r="D80" s="800" t="str">
        <f>IF(AND(OR(Projektgrundlagen!$I$26,Projektgrundlagen!$I$27),'StB-D1 Besondere Lstg'!M36=TRUE),'StB-D1 Besondere Lstg'!I36,"")</f>
        <v/>
      </c>
      <c r="E80" s="800" t="str">
        <f>IF(AND(OR(Projektgrundlagen!$I$26,Projektgrundlagen!$I$27),'StB-D1 Besondere Lstg'!M36=TRUE),'StB-D1 Besondere Lstg'!J36,"")</f>
        <v/>
      </c>
      <c r="F80" s="800" t="str">
        <f>IF(AND(OR(Projektgrundlagen!$I$26,Projektgrundlagen!$I$27),'StB-D1 Besondere Lstg'!M36=TRUE),'StB-D1 Besondere Lstg'!K36,"")</f>
        <v/>
      </c>
      <c r="G80" s="808"/>
      <c r="H80" s="809"/>
    </row>
    <row r="81" spans="2:8" ht="16">
      <c r="B81" t="str">
        <f>IF(AND(OR(Projektgrundlagen!$I$26,Projektgrundlagen!$I$27),'StB-D1 Besondere Lstg'!M37=TRUE),'StB-D1 Besondere Lstg'!C37&amp;" "&amp;'StB-D1 Besondere Lstg'!F37&amp;" "&amp;'StB-D1 Besondere Lstg'!F38,"")</f>
        <v/>
      </c>
      <c r="C81" s="800" t="str">
        <f>IF(AND(OR(Projektgrundlagen!$I$26,Projektgrundlagen!$I$27),'StB-D1 Besondere Lstg'!M37=TRUE),'StB-D1 Besondere Lstg'!H37,"")</f>
        <v/>
      </c>
      <c r="D81" s="800" t="str">
        <f>IF(AND(OR(Projektgrundlagen!$I$26,Projektgrundlagen!$I$27),'StB-D1 Besondere Lstg'!M37=TRUE),'StB-D1 Besondere Lstg'!I37,"")</f>
        <v/>
      </c>
      <c r="E81" s="800" t="str">
        <f>IF(AND(OR(Projektgrundlagen!$I$26,Projektgrundlagen!$I$27),'StB-D1 Besondere Lstg'!M37=TRUE),'StB-D1 Besondere Lstg'!J37,"")</f>
        <v/>
      </c>
      <c r="F81" s="800" t="str">
        <f>IF(AND(OR(Projektgrundlagen!$I$26,Projektgrundlagen!$I$27),'StB-D1 Besondere Lstg'!M37=TRUE),'StB-D1 Besondere Lstg'!K37,"")</f>
        <v/>
      </c>
      <c r="G81" s="808"/>
      <c r="H81" s="809"/>
    </row>
    <row r="82" spans="2:8" ht="16">
      <c r="B82" t="str">
        <f>IF(AND(OR(Projektgrundlagen!$I$26,Projektgrundlagen!$I$27),'StB-D1 Besondere Lstg'!M38=TRUE),'StB-D1 Besondere Lstg'!C38&amp;" "&amp;'StB-D1 Besondere Lstg'!F38&amp;" "&amp;'StB-D1 Besondere Lstg'!F39,"")</f>
        <v/>
      </c>
      <c r="C82" s="800" t="str">
        <f>IF(AND(OR(Projektgrundlagen!$I$26,Projektgrundlagen!$I$27),'StB-D1 Besondere Lstg'!M38=TRUE),'StB-D1 Besondere Lstg'!H38,"")</f>
        <v/>
      </c>
      <c r="D82" s="800" t="str">
        <f>IF(AND(OR(Projektgrundlagen!$I$26,Projektgrundlagen!$I$27),'StB-D1 Besondere Lstg'!M38=TRUE),'StB-D1 Besondere Lstg'!I38,"")</f>
        <v/>
      </c>
      <c r="E82" s="800" t="str">
        <f>IF(AND(OR(Projektgrundlagen!$I$26,Projektgrundlagen!$I$27),'StB-D1 Besondere Lstg'!M38=TRUE),'StB-D1 Besondere Lstg'!J38,"")</f>
        <v/>
      </c>
      <c r="F82" s="800" t="str">
        <f>IF(AND(OR(Projektgrundlagen!$I$26,Projektgrundlagen!$I$27),'StB-D1 Besondere Lstg'!M38=TRUE),'StB-D1 Besondere Lstg'!K38,"")</f>
        <v/>
      </c>
      <c r="G82" s="808"/>
      <c r="H82" s="809"/>
    </row>
    <row r="83" spans="2:8" ht="16">
      <c r="B83" t="str">
        <f>IF(AND(OR(Projektgrundlagen!$I$26,Projektgrundlagen!$I$27),'StB-D1 Besondere Lstg'!M39=TRUE),'StB-D1 Besondere Lstg'!C39&amp;" "&amp;'StB-D1 Besondere Lstg'!F39&amp;" "&amp;'StB-D1 Besondere Lstg'!F40,"")</f>
        <v/>
      </c>
      <c r="C83" s="800" t="str">
        <f>IF(AND(OR(Projektgrundlagen!$I$26,Projektgrundlagen!$I$27),'StB-D1 Besondere Lstg'!M39=TRUE),'StB-D1 Besondere Lstg'!H39,"")</f>
        <v/>
      </c>
      <c r="D83" s="800" t="str">
        <f>IF(AND(OR(Projektgrundlagen!$I$26,Projektgrundlagen!$I$27),'StB-D1 Besondere Lstg'!M39=TRUE),'StB-D1 Besondere Lstg'!I39,"")</f>
        <v/>
      </c>
      <c r="E83" s="800" t="str">
        <f>IF(AND(OR(Projektgrundlagen!$I$26,Projektgrundlagen!$I$27),'StB-D1 Besondere Lstg'!M39=TRUE),'StB-D1 Besondere Lstg'!J39,"")</f>
        <v/>
      </c>
      <c r="F83" s="800" t="str">
        <f>IF(AND(OR(Projektgrundlagen!$I$26,Projektgrundlagen!$I$27),'StB-D1 Besondere Lstg'!M39=TRUE),'StB-D1 Besondere Lstg'!K39,"")</f>
        <v/>
      </c>
      <c r="G83" s="808"/>
      <c r="H83" s="809"/>
    </row>
    <row r="84" spans="2:8" ht="16">
      <c r="B84" t="str">
        <f>IF(AND(OR(Projektgrundlagen!$I$26,Projektgrundlagen!$I$27),'StB-D1 Besondere Lstg'!M40=TRUE),'StB-D1 Besondere Lstg'!C40&amp;" "&amp;'StB-D1 Besondere Lstg'!F40&amp;" "&amp;'StB-D1 Besondere Lstg'!F41,"")</f>
        <v/>
      </c>
      <c r="C84" s="800" t="str">
        <f>IF(AND(OR(Projektgrundlagen!$I$26,Projektgrundlagen!$I$27),'StB-D1 Besondere Lstg'!M40=TRUE),'StB-D1 Besondere Lstg'!H40,"")</f>
        <v/>
      </c>
      <c r="D84" s="800" t="str">
        <f>IF(AND(OR(Projektgrundlagen!$I$26,Projektgrundlagen!$I$27),'StB-D1 Besondere Lstg'!M40=TRUE),'StB-D1 Besondere Lstg'!I40,"")</f>
        <v/>
      </c>
      <c r="E84" s="800" t="str">
        <f>IF(AND(OR(Projektgrundlagen!$I$26,Projektgrundlagen!$I$27),'StB-D1 Besondere Lstg'!M40=TRUE),'StB-D1 Besondere Lstg'!J40,"")</f>
        <v/>
      </c>
      <c r="F84" s="800" t="str">
        <f>IF(AND(OR(Projektgrundlagen!$I$26,Projektgrundlagen!$I$27),'StB-D1 Besondere Lstg'!M40=TRUE),'StB-D1 Besondere Lstg'!K40,"")</f>
        <v/>
      </c>
      <c r="G84" s="808"/>
      <c r="H84" s="809"/>
    </row>
    <row r="85" spans="2:8" ht="16">
      <c r="B85" t="str">
        <f>IF(AND(OR(Projektgrundlagen!$I$26,Projektgrundlagen!$I$27),'StB-D1 Besondere Lstg'!M41=TRUE),'StB-D1 Besondere Lstg'!C41&amp;" "&amp;'StB-D1 Besondere Lstg'!F41&amp;" "&amp;'StB-D1 Besondere Lstg'!F42,"")</f>
        <v/>
      </c>
      <c r="C85" s="800" t="str">
        <f>IF(AND(OR(Projektgrundlagen!$I$26,Projektgrundlagen!$I$27),'StB-D1 Besondere Lstg'!M41=TRUE),'StB-D1 Besondere Lstg'!H41,"")</f>
        <v/>
      </c>
      <c r="D85" s="800" t="str">
        <f>IF(AND(OR(Projektgrundlagen!$I$26,Projektgrundlagen!$I$27),'StB-D1 Besondere Lstg'!M41=TRUE),'StB-D1 Besondere Lstg'!I41,"")</f>
        <v/>
      </c>
      <c r="E85" s="800" t="str">
        <f>IF(AND(OR(Projektgrundlagen!$I$26,Projektgrundlagen!$I$27),'StB-D1 Besondere Lstg'!M41=TRUE),'StB-D1 Besondere Lstg'!J41,"")</f>
        <v/>
      </c>
      <c r="F85" s="800" t="str">
        <f>IF(AND(OR(Projektgrundlagen!$I$26,Projektgrundlagen!$I$27),'StB-D1 Besondere Lstg'!M41=TRUE),'StB-D1 Besondere Lstg'!K41,"")</f>
        <v/>
      </c>
      <c r="G85" s="808"/>
      <c r="H85" s="809"/>
    </row>
    <row r="86" spans="2:8" ht="16">
      <c r="B86" t="str">
        <f>IF(AND(OR(Projektgrundlagen!$I$26,Projektgrundlagen!$I$27),'StB-D1 Besondere Lstg'!M42=TRUE),'StB-D1 Besondere Lstg'!C42&amp;" "&amp;'StB-D1 Besondere Lstg'!F42&amp;" "&amp;'StB-D1 Besondere Lstg'!F43,"")</f>
        <v/>
      </c>
      <c r="C86" s="800" t="str">
        <f>IF(AND(OR(Projektgrundlagen!$I$26,Projektgrundlagen!$I$27),'StB-D1 Besondere Lstg'!M42=TRUE),'StB-D1 Besondere Lstg'!H42,"")</f>
        <v/>
      </c>
      <c r="D86" s="800" t="str">
        <f>IF(AND(OR(Projektgrundlagen!$I$26,Projektgrundlagen!$I$27),'StB-D1 Besondere Lstg'!M42=TRUE),'StB-D1 Besondere Lstg'!I42,"")</f>
        <v/>
      </c>
      <c r="E86" s="800" t="str">
        <f>IF(AND(OR(Projektgrundlagen!$I$26,Projektgrundlagen!$I$27),'StB-D1 Besondere Lstg'!M42=TRUE),'StB-D1 Besondere Lstg'!J42,"")</f>
        <v/>
      </c>
      <c r="F86" s="800" t="str">
        <f>IF(AND(OR(Projektgrundlagen!$I$26,Projektgrundlagen!$I$27),'StB-D1 Besondere Lstg'!M42=TRUE),'StB-D1 Besondere Lstg'!K42,"")</f>
        <v/>
      </c>
      <c r="G86" s="808"/>
      <c r="H86" s="809"/>
    </row>
    <row r="87" spans="2:8" ht="16">
      <c r="B87" t="str">
        <f>IF(AND(OR(Projektgrundlagen!$I$26,Projektgrundlagen!$I$27),'StB-D1 Besondere Lstg'!M43=TRUE),'StB-D1 Besondere Lstg'!C43&amp;" "&amp;'StB-D1 Besondere Lstg'!F43&amp;" "&amp;'StB-D1 Besondere Lstg'!F44,"")</f>
        <v/>
      </c>
      <c r="C87" s="800" t="str">
        <f>IF(AND(OR(Projektgrundlagen!$I$26,Projektgrundlagen!$I$27),'StB-D1 Besondere Lstg'!M43=TRUE),'StB-D1 Besondere Lstg'!H43,"")</f>
        <v/>
      </c>
      <c r="D87" s="800" t="str">
        <f>IF(AND(OR(Projektgrundlagen!$I$26,Projektgrundlagen!$I$27),'StB-D1 Besondere Lstg'!M43=TRUE),'StB-D1 Besondere Lstg'!I43,"")</f>
        <v/>
      </c>
      <c r="E87" s="800" t="str">
        <f>IF(AND(OR(Projektgrundlagen!$I$26,Projektgrundlagen!$I$27),'StB-D1 Besondere Lstg'!M43=TRUE),'StB-D1 Besondere Lstg'!J43,"")</f>
        <v/>
      </c>
      <c r="F87" s="800" t="str">
        <f>IF(AND(OR(Projektgrundlagen!$I$26,Projektgrundlagen!$I$27),'StB-D1 Besondere Lstg'!M43=TRUE),'StB-D1 Besondere Lstg'!K43,"")</f>
        <v/>
      </c>
      <c r="G87" s="808"/>
      <c r="H87" s="809"/>
    </row>
    <row r="88" spans="2:8" ht="16">
      <c r="B88" t="str">
        <f>IF(AND(OR(Projektgrundlagen!$I$26,Projektgrundlagen!$I$27),'StB-D1 Besondere Lstg'!M44=TRUE),'StB-D1 Besondere Lstg'!C44&amp;" "&amp;'StB-D1 Besondere Lstg'!F44&amp;" "&amp;'StB-D1 Besondere Lstg'!F45,"")</f>
        <v/>
      </c>
      <c r="C88" s="800" t="str">
        <f>IF(AND(OR(Projektgrundlagen!$I$26,Projektgrundlagen!$I$27),'StB-D1 Besondere Lstg'!M44=TRUE),'StB-D1 Besondere Lstg'!H44,"")</f>
        <v/>
      </c>
      <c r="D88" s="800" t="str">
        <f>IF(AND(OR(Projektgrundlagen!$I$26,Projektgrundlagen!$I$27),'StB-D1 Besondere Lstg'!M44=TRUE),'StB-D1 Besondere Lstg'!I44,"")</f>
        <v/>
      </c>
      <c r="E88" s="800" t="str">
        <f>IF(AND(OR(Projektgrundlagen!$I$26,Projektgrundlagen!$I$27),'StB-D1 Besondere Lstg'!M44=TRUE),'StB-D1 Besondere Lstg'!J44,"")</f>
        <v/>
      </c>
      <c r="F88" s="800" t="str">
        <f>IF(AND(OR(Projektgrundlagen!$I$26,Projektgrundlagen!$I$27),'StB-D1 Besondere Lstg'!M44=TRUE),'StB-D1 Besondere Lstg'!K44,"")</f>
        <v/>
      </c>
      <c r="G88" s="808"/>
      <c r="H88" s="809"/>
    </row>
    <row r="89" spans="2:8" ht="16">
      <c r="B89" t="str">
        <f>IF(AND(OR(Projektgrundlagen!$I$26,Projektgrundlagen!$I$27),'StB-D1 Besondere Lstg'!M45=TRUE),'StB-D1 Besondere Lstg'!C45&amp;" "&amp;'StB-D1 Besondere Lstg'!F45&amp;" "&amp;'StB-D1 Besondere Lstg'!F46,"")</f>
        <v/>
      </c>
      <c r="C89" s="800" t="str">
        <f>IF(AND(OR(Projektgrundlagen!$I$26,Projektgrundlagen!$I$27),'StB-D1 Besondere Lstg'!M45=TRUE),'StB-D1 Besondere Lstg'!H45,"")</f>
        <v/>
      </c>
      <c r="D89" s="800" t="str">
        <f>IF(AND(OR(Projektgrundlagen!$I$26,Projektgrundlagen!$I$27),'StB-D1 Besondere Lstg'!M45=TRUE),'StB-D1 Besondere Lstg'!I45,"")</f>
        <v/>
      </c>
      <c r="E89" s="800" t="str">
        <f>IF(AND(OR(Projektgrundlagen!$I$26,Projektgrundlagen!$I$27),'StB-D1 Besondere Lstg'!M45=TRUE),'StB-D1 Besondere Lstg'!J45,"")</f>
        <v/>
      </c>
      <c r="F89" s="800" t="str">
        <f>IF(AND(OR(Projektgrundlagen!$I$26,Projektgrundlagen!$I$27),'StB-D1 Besondere Lstg'!M45=TRUE),'StB-D1 Besondere Lstg'!K45,"")</f>
        <v/>
      </c>
      <c r="G89" s="808"/>
      <c r="H89" s="809"/>
    </row>
    <row r="90" spans="2:8" ht="16">
      <c r="B90" t="str">
        <f>IF(AND(OR(Projektgrundlagen!$I$26,Projektgrundlagen!$I$27),'StB-D1 Besondere Lstg'!M46=TRUE),'StB-D1 Besondere Lstg'!C46&amp;" "&amp;'StB-D1 Besondere Lstg'!F46&amp;" "&amp;'StB-D1 Besondere Lstg'!F47,"")</f>
        <v/>
      </c>
      <c r="C90" s="800" t="str">
        <f>IF(AND(OR(Projektgrundlagen!$I$26,Projektgrundlagen!$I$27),'StB-D1 Besondere Lstg'!M46=TRUE),'StB-D1 Besondere Lstg'!H46,"")</f>
        <v/>
      </c>
      <c r="D90" s="800" t="str">
        <f>IF(AND(OR(Projektgrundlagen!$I$26,Projektgrundlagen!$I$27),'StB-D1 Besondere Lstg'!M46=TRUE),'StB-D1 Besondere Lstg'!I46,"")</f>
        <v/>
      </c>
      <c r="E90" s="800" t="str">
        <f>IF(AND(OR(Projektgrundlagen!$I$26,Projektgrundlagen!$I$27),'StB-D1 Besondere Lstg'!M46=TRUE),'StB-D1 Besondere Lstg'!J46,"")</f>
        <v/>
      </c>
      <c r="F90" s="800" t="str">
        <f>IF(AND(OR(Projektgrundlagen!$I$26,Projektgrundlagen!$I$27),'StB-D1 Besondere Lstg'!M46=TRUE),'StB-D1 Besondere Lstg'!K46,"")</f>
        <v/>
      </c>
      <c r="G90" s="808"/>
      <c r="H90" s="809"/>
    </row>
    <row r="91" spans="2:8" ht="16">
      <c r="B91" t="str">
        <f>IF(AND(OR(Projektgrundlagen!$I$26,Projektgrundlagen!$I$27),'StB-D1 Besondere Lstg'!M47=TRUE),'StB-D1 Besondere Lstg'!C47&amp;" "&amp;'StB-D1 Besondere Lstg'!F47&amp;" "&amp;'StB-D1 Besondere Lstg'!F48,"")</f>
        <v/>
      </c>
      <c r="C91" s="800" t="str">
        <f>IF(AND(OR(Projektgrundlagen!$I$26,Projektgrundlagen!$I$27),'StB-D1 Besondere Lstg'!M47=TRUE),'StB-D1 Besondere Lstg'!H47,"")</f>
        <v/>
      </c>
      <c r="D91" s="800" t="str">
        <f>IF(AND(OR(Projektgrundlagen!$I$26,Projektgrundlagen!$I$27),'StB-D1 Besondere Lstg'!M47=TRUE),'StB-D1 Besondere Lstg'!I47,"")</f>
        <v/>
      </c>
      <c r="E91" s="800" t="str">
        <f>IF(AND(OR(Projektgrundlagen!$I$26,Projektgrundlagen!$I$27),'StB-D1 Besondere Lstg'!M47=TRUE),'StB-D1 Besondere Lstg'!J47,"")</f>
        <v/>
      </c>
      <c r="F91" s="800" t="str">
        <f>IF(AND(OR(Projektgrundlagen!$I$26,Projektgrundlagen!$I$27),'StB-D1 Besondere Lstg'!M47=TRUE),'StB-D1 Besondere Lstg'!K47,"")</f>
        <v/>
      </c>
      <c r="G91" s="808"/>
      <c r="H91" s="809"/>
    </row>
    <row r="92" spans="2:8" ht="16">
      <c r="B92" t="str">
        <f>IF(AND(OR(Projektgrundlagen!$I$26,Projektgrundlagen!$I$27),'StB-D1 Besondere Lstg'!M48=TRUE),'StB-D1 Besondere Lstg'!C48&amp;" "&amp;'StB-D1 Besondere Lstg'!F48&amp;" "&amp;'StB-D1 Besondere Lstg'!F49,"")</f>
        <v/>
      </c>
      <c r="C92" s="800" t="str">
        <f>IF(AND(OR(Projektgrundlagen!$I$26,Projektgrundlagen!$I$27),'StB-D1 Besondere Lstg'!M48=TRUE),'StB-D1 Besondere Lstg'!H48,"")</f>
        <v/>
      </c>
      <c r="D92" s="800" t="str">
        <f>IF(AND(OR(Projektgrundlagen!$I$26,Projektgrundlagen!$I$27),'StB-D1 Besondere Lstg'!M48=TRUE),'StB-D1 Besondere Lstg'!I48,"")</f>
        <v/>
      </c>
      <c r="E92" s="800" t="str">
        <f>IF(AND(OR(Projektgrundlagen!$I$26,Projektgrundlagen!$I$27),'StB-D1 Besondere Lstg'!M48=TRUE),'StB-D1 Besondere Lstg'!J48,"")</f>
        <v/>
      </c>
      <c r="F92" s="800" t="str">
        <f>IF(AND(OR(Projektgrundlagen!$I$26,Projektgrundlagen!$I$27),'StB-D1 Besondere Lstg'!M48=TRUE),'StB-D1 Besondere Lstg'!K48,"")</f>
        <v/>
      </c>
      <c r="G92" s="808"/>
      <c r="H92" s="809"/>
    </row>
    <row r="93" spans="2:8" ht="16">
      <c r="B93" t="str">
        <f>IF(AND(OR(Projektgrundlagen!$I$26,Projektgrundlagen!$I$27),'StB-D1 Besondere Lstg'!M49=TRUE),'StB-D1 Besondere Lstg'!C49&amp;" "&amp;'StB-D1 Besondere Lstg'!F49&amp;" "&amp;'StB-D1 Besondere Lstg'!F50,"")</f>
        <v/>
      </c>
      <c r="C93" s="800" t="str">
        <f>IF(AND(OR(Projektgrundlagen!$I$26,Projektgrundlagen!$I$27),'StB-D1 Besondere Lstg'!M49=TRUE),'StB-D1 Besondere Lstg'!H49,"")</f>
        <v/>
      </c>
      <c r="D93" s="800" t="str">
        <f>IF(AND(OR(Projektgrundlagen!$I$26,Projektgrundlagen!$I$27),'StB-D1 Besondere Lstg'!M49=TRUE),'StB-D1 Besondere Lstg'!I49,"")</f>
        <v/>
      </c>
      <c r="E93" s="800" t="str">
        <f>IF(AND(OR(Projektgrundlagen!$I$26,Projektgrundlagen!$I$27),'StB-D1 Besondere Lstg'!M49=TRUE),'StB-D1 Besondere Lstg'!J49,"")</f>
        <v/>
      </c>
      <c r="F93" s="800" t="str">
        <f>IF(AND(OR(Projektgrundlagen!$I$26,Projektgrundlagen!$I$27),'StB-D1 Besondere Lstg'!M49=TRUE),'StB-D1 Besondere Lstg'!K49,"")</f>
        <v/>
      </c>
      <c r="G93" s="808"/>
      <c r="H93" s="809"/>
    </row>
    <row r="94" spans="2:8" ht="16">
      <c r="B94" t="str">
        <f>IF(AND(OR(Projektgrundlagen!$I$26,Projektgrundlagen!$I$27),'StB-D1 Besondere Lstg'!M50=TRUE),'StB-D1 Besondere Lstg'!C50&amp;" "&amp;'StB-D1 Besondere Lstg'!F50&amp;" "&amp;'StB-D1 Besondere Lstg'!F51,"")</f>
        <v/>
      </c>
      <c r="C94" s="800" t="str">
        <f>IF(AND(OR(Projektgrundlagen!$I$26,Projektgrundlagen!$I$27),'StB-D1 Besondere Lstg'!M50=TRUE),'StB-D1 Besondere Lstg'!H50,"")</f>
        <v/>
      </c>
      <c r="D94" s="800" t="str">
        <f>IF(AND(OR(Projektgrundlagen!$I$26,Projektgrundlagen!$I$27),'StB-D1 Besondere Lstg'!M50=TRUE),'StB-D1 Besondere Lstg'!I50,"")</f>
        <v/>
      </c>
      <c r="E94" s="800" t="str">
        <f>IF(AND(OR(Projektgrundlagen!$I$26,Projektgrundlagen!$I$27),'StB-D1 Besondere Lstg'!M50=TRUE),'StB-D1 Besondere Lstg'!J50,"")</f>
        <v/>
      </c>
      <c r="F94" s="800" t="str">
        <f>IF(AND(OR(Projektgrundlagen!$I$26,Projektgrundlagen!$I$27),'StB-D1 Besondere Lstg'!M50=TRUE),'StB-D1 Besondere Lstg'!K50,"")</f>
        <v/>
      </c>
      <c r="G94" s="808"/>
      <c r="H94" s="809"/>
    </row>
    <row r="95" spans="2:8" ht="16">
      <c r="B95" t="str">
        <f>IF(AND(OR(Projektgrundlagen!$I$26,Projektgrundlagen!$I$27),'StB-D1 Besondere Lstg'!M51=TRUE),'StB-D1 Besondere Lstg'!C51&amp;" "&amp;'StB-D1 Besondere Lstg'!F51&amp;" "&amp;'StB-D1 Besondere Lstg'!F52,"")</f>
        <v/>
      </c>
      <c r="C95" s="800" t="str">
        <f>IF(AND(OR(Projektgrundlagen!$I$26,Projektgrundlagen!$I$27),'StB-D1 Besondere Lstg'!M51=TRUE),'StB-D1 Besondere Lstg'!H51,"")</f>
        <v/>
      </c>
      <c r="D95" s="800" t="str">
        <f>IF(AND(OR(Projektgrundlagen!$I$26,Projektgrundlagen!$I$27),'StB-D1 Besondere Lstg'!M51=TRUE),'StB-D1 Besondere Lstg'!I51,"")</f>
        <v/>
      </c>
      <c r="E95" s="800" t="str">
        <f>IF(AND(OR(Projektgrundlagen!$I$26,Projektgrundlagen!$I$27),'StB-D1 Besondere Lstg'!M51=TRUE),'StB-D1 Besondere Lstg'!J51,"")</f>
        <v/>
      </c>
      <c r="F95" s="800" t="str">
        <f>IF(AND(OR(Projektgrundlagen!$I$26,Projektgrundlagen!$I$27),'StB-D1 Besondere Lstg'!M51=TRUE),'StB-D1 Besondere Lstg'!K51,"")</f>
        <v/>
      </c>
      <c r="G95" s="808"/>
      <c r="H95" s="809"/>
    </row>
    <row r="96" spans="2:8" ht="16">
      <c r="B96" t="str">
        <f>IF(AND(OR(Projektgrundlagen!$I$26,Projektgrundlagen!$I$27),'StB-D1 Besondere Lstg'!M52=TRUE),'StB-D1 Besondere Lstg'!C52&amp;" "&amp;'StB-D1 Besondere Lstg'!F52&amp;" "&amp;'StB-D1 Besondere Lstg'!F53,"")</f>
        <v/>
      </c>
      <c r="C96" s="800" t="str">
        <f>IF(AND(OR(Projektgrundlagen!$I$26,Projektgrundlagen!$I$27),'StB-D1 Besondere Lstg'!M52=TRUE),'StB-D1 Besondere Lstg'!H52,"")</f>
        <v/>
      </c>
      <c r="D96" s="800" t="str">
        <f>IF(AND(OR(Projektgrundlagen!$I$26,Projektgrundlagen!$I$27),'StB-D1 Besondere Lstg'!M52=TRUE),'StB-D1 Besondere Lstg'!I52,"")</f>
        <v/>
      </c>
      <c r="E96" s="800" t="str">
        <f>IF(AND(OR(Projektgrundlagen!$I$26,Projektgrundlagen!$I$27),'StB-D1 Besondere Lstg'!M52=TRUE),'StB-D1 Besondere Lstg'!J52,"")</f>
        <v/>
      </c>
      <c r="F96" s="800" t="str">
        <f>IF(AND(OR(Projektgrundlagen!$I$26,Projektgrundlagen!$I$27),'StB-D1 Besondere Lstg'!M52=TRUE),'StB-D1 Besondere Lstg'!K52,"")</f>
        <v/>
      </c>
      <c r="G96" s="808"/>
      <c r="H96" s="809"/>
    </row>
    <row r="97" spans="2:8" ht="16">
      <c r="B97" t="str">
        <f>IF(AND(OR(Projektgrundlagen!$I$26,Projektgrundlagen!$I$27),'StB-D1 Besondere Lstg'!M53=TRUE),'StB-D1 Besondere Lstg'!C53&amp;" "&amp;'StB-D1 Besondere Lstg'!F53&amp;" "&amp;'StB-D1 Besondere Lstg'!F54,"")</f>
        <v/>
      </c>
      <c r="C97" s="800" t="str">
        <f>IF(AND(OR(Projektgrundlagen!$I$26,Projektgrundlagen!$I$27),'StB-D1 Besondere Lstg'!M53=TRUE),'StB-D1 Besondere Lstg'!H53,"")</f>
        <v/>
      </c>
      <c r="D97" s="800" t="str">
        <f>IF(AND(OR(Projektgrundlagen!$I$26,Projektgrundlagen!$I$27),'StB-D1 Besondere Lstg'!M53=TRUE),'StB-D1 Besondere Lstg'!I53,"")</f>
        <v/>
      </c>
      <c r="E97" s="800" t="str">
        <f>IF(AND(OR(Projektgrundlagen!$I$26,Projektgrundlagen!$I$27),'StB-D1 Besondere Lstg'!M53=TRUE),'StB-D1 Besondere Lstg'!J53,"")</f>
        <v/>
      </c>
      <c r="F97" s="800" t="str">
        <f>IF(AND(OR(Projektgrundlagen!$I$26,Projektgrundlagen!$I$27),'StB-D1 Besondere Lstg'!M53=TRUE),'StB-D1 Besondere Lstg'!K53,"")</f>
        <v/>
      </c>
      <c r="G97" s="808"/>
      <c r="H97" s="809"/>
    </row>
    <row r="98" spans="2:8" ht="16">
      <c r="B98" t="str">
        <f>IF(AND(OR(Projektgrundlagen!$I$26,Projektgrundlagen!$I$27),'StB-D1 Besondere Lstg'!M54=TRUE),'StB-D1 Besondere Lstg'!C54&amp;" "&amp;'StB-D1 Besondere Lstg'!F54&amp;" "&amp;'StB-D1 Besondere Lstg'!F55,"")</f>
        <v/>
      </c>
      <c r="C98" s="800" t="str">
        <f>IF(AND(OR(Projektgrundlagen!$I$26,Projektgrundlagen!$I$27),'StB-D1 Besondere Lstg'!M54=TRUE),'StB-D1 Besondere Lstg'!H54,"")</f>
        <v/>
      </c>
      <c r="D98" s="800" t="str">
        <f>IF(AND(OR(Projektgrundlagen!$I$26,Projektgrundlagen!$I$27),'StB-D1 Besondere Lstg'!M54=TRUE),'StB-D1 Besondere Lstg'!I54,"")</f>
        <v/>
      </c>
      <c r="E98" s="800" t="str">
        <f>IF(AND(OR(Projektgrundlagen!$I$26,Projektgrundlagen!$I$27),'StB-D1 Besondere Lstg'!M54=TRUE),'StB-D1 Besondere Lstg'!J54,"")</f>
        <v/>
      </c>
      <c r="F98" s="800" t="str">
        <f>IF(AND(OR(Projektgrundlagen!$I$26,Projektgrundlagen!$I$27),'StB-D1 Besondere Lstg'!M54=TRUE),'StB-D1 Besondere Lstg'!K54,"")</f>
        <v/>
      </c>
      <c r="G98" s="808"/>
      <c r="H98" s="809"/>
    </row>
    <row r="99" spans="2:8" ht="16">
      <c r="B99" t="str">
        <f>IF(AND(OR(Projektgrundlagen!$I$26,Projektgrundlagen!$I$27),'StB-D1 Besondere Lstg'!M55=TRUE),'StB-D1 Besondere Lstg'!C55&amp;" "&amp;'StB-D1 Besondere Lstg'!F55&amp;" "&amp;'StB-D1 Besondere Lstg'!F56,"")</f>
        <v/>
      </c>
      <c r="C99" s="800" t="str">
        <f>IF(AND(OR(Projektgrundlagen!$I$26,Projektgrundlagen!$I$27),'StB-D1 Besondere Lstg'!M55=TRUE),'StB-D1 Besondere Lstg'!H55,"")</f>
        <v/>
      </c>
      <c r="D99" s="800" t="str">
        <f>IF(AND(OR(Projektgrundlagen!$I$26,Projektgrundlagen!$I$27),'StB-D1 Besondere Lstg'!M55=TRUE),'StB-D1 Besondere Lstg'!I55,"")</f>
        <v/>
      </c>
      <c r="E99" s="800" t="str">
        <f>IF(AND(OR(Projektgrundlagen!$I$26,Projektgrundlagen!$I$27),'StB-D1 Besondere Lstg'!M55=TRUE),'StB-D1 Besondere Lstg'!J55,"")</f>
        <v/>
      </c>
      <c r="F99" s="800" t="str">
        <f>IF(AND(OR(Projektgrundlagen!$I$26,Projektgrundlagen!$I$27),'StB-D1 Besondere Lstg'!M55=TRUE),'StB-D1 Besondere Lstg'!K55,"")</f>
        <v/>
      </c>
      <c r="G99" s="808"/>
      <c r="H99" s="809"/>
    </row>
    <row r="100" spans="2:8" ht="16">
      <c r="B100" t="str">
        <f>IF(AND(OR(Projektgrundlagen!$I$26,Projektgrundlagen!$I$27),'StB-D1 Besondere Lstg'!M56=TRUE),'StB-D1 Besondere Lstg'!C56&amp;" "&amp;'StB-D1 Besondere Lstg'!F56&amp;" "&amp;'StB-D1 Besondere Lstg'!F57,"")</f>
        <v/>
      </c>
      <c r="C100" s="800" t="str">
        <f>IF(AND(OR(Projektgrundlagen!$I$26,Projektgrundlagen!$I$27),'StB-D1 Besondere Lstg'!M56=TRUE),'StB-D1 Besondere Lstg'!H56,"")</f>
        <v/>
      </c>
      <c r="D100" s="800" t="str">
        <f>IF(AND(OR(Projektgrundlagen!$I$26,Projektgrundlagen!$I$27),'StB-D1 Besondere Lstg'!M56=TRUE),'StB-D1 Besondere Lstg'!I56,"")</f>
        <v/>
      </c>
      <c r="E100" s="800" t="str">
        <f>IF(AND(OR(Projektgrundlagen!$I$26,Projektgrundlagen!$I$27),'StB-D1 Besondere Lstg'!M56=TRUE),'StB-D1 Besondere Lstg'!J56,"")</f>
        <v/>
      </c>
      <c r="F100" s="800" t="str">
        <f>IF(AND(OR(Projektgrundlagen!$I$26,Projektgrundlagen!$I$27),'StB-D1 Besondere Lstg'!M56=TRUE),'StB-D1 Besondere Lstg'!K56,"")</f>
        <v/>
      </c>
      <c r="G100" s="808"/>
      <c r="H100" s="809"/>
    </row>
    <row r="101" spans="2:8" ht="16">
      <c r="B101" t="str">
        <f>IF(AND(OR(Projektgrundlagen!$I$26,Projektgrundlagen!$I$27),'StB-D1 Besondere Lstg'!M57=TRUE),'StB-D1 Besondere Lstg'!C57&amp;" "&amp;'StB-D1 Besondere Lstg'!F57&amp;" "&amp;'StB-D1 Besondere Lstg'!F58,"")</f>
        <v/>
      </c>
      <c r="C101" s="800" t="str">
        <f>IF(AND(OR(Projektgrundlagen!$I$26,Projektgrundlagen!$I$27),'StB-D1 Besondere Lstg'!M57=TRUE),'StB-D1 Besondere Lstg'!H57,"")</f>
        <v/>
      </c>
      <c r="D101" s="800" t="str">
        <f>IF(AND(OR(Projektgrundlagen!$I$26,Projektgrundlagen!$I$27),'StB-D1 Besondere Lstg'!M57=TRUE),'StB-D1 Besondere Lstg'!I57,"")</f>
        <v/>
      </c>
      <c r="E101" s="800" t="str">
        <f>IF(AND(OR(Projektgrundlagen!$I$26,Projektgrundlagen!$I$27),'StB-D1 Besondere Lstg'!M57=TRUE),'StB-D1 Besondere Lstg'!J57,"")</f>
        <v/>
      </c>
      <c r="F101" s="800" t="str">
        <f>IF(AND(OR(Projektgrundlagen!$I$26,Projektgrundlagen!$I$27),'StB-D1 Besondere Lstg'!M57=TRUE),'StB-D1 Besondere Lstg'!K57,"")</f>
        <v/>
      </c>
      <c r="G101" s="808"/>
      <c r="H101" s="809"/>
    </row>
    <row r="102" spans="2:8" ht="16">
      <c r="B102" t="str">
        <f>IF(AND(OR(Projektgrundlagen!$I$26,Projektgrundlagen!$I$27),'StB-D1 Besondere Lstg'!M58=TRUE),'StB-D1 Besondere Lstg'!C58&amp;" "&amp;'StB-D1 Besondere Lstg'!F58&amp;" "&amp;'StB-D1 Besondere Lstg'!F59,"")</f>
        <v/>
      </c>
      <c r="C102" s="800" t="str">
        <f>IF(AND(OR(Projektgrundlagen!$I$26,Projektgrundlagen!$I$27),'StB-D1 Besondere Lstg'!M58=TRUE),'StB-D1 Besondere Lstg'!H58,"")</f>
        <v/>
      </c>
      <c r="D102" s="800" t="str">
        <f>IF(AND(OR(Projektgrundlagen!$I$26,Projektgrundlagen!$I$27),'StB-D1 Besondere Lstg'!M58=TRUE),'StB-D1 Besondere Lstg'!I58,"")</f>
        <v/>
      </c>
      <c r="E102" s="800" t="str">
        <f>IF(AND(OR(Projektgrundlagen!$I$26,Projektgrundlagen!$I$27),'StB-D1 Besondere Lstg'!M58=TRUE),'StB-D1 Besondere Lstg'!J58,"")</f>
        <v/>
      </c>
      <c r="F102" s="800" t="str">
        <f>IF(AND(OR(Projektgrundlagen!$I$26,Projektgrundlagen!$I$27),'StB-D1 Besondere Lstg'!M58=TRUE),'StB-D1 Besondere Lstg'!K58,"")</f>
        <v/>
      </c>
      <c r="G102" s="808"/>
      <c r="H102" s="809"/>
    </row>
    <row r="103" spans="2:8" ht="16">
      <c r="B103" t="str">
        <f>IF(AND(OR(Projektgrundlagen!$I$26,Projektgrundlagen!$I$27),'StB-D1 Besondere Lstg'!M59=TRUE),'StB-D1 Besondere Lstg'!C59&amp;" "&amp;'StB-D1 Besondere Lstg'!F59&amp;" "&amp;'StB-D1 Besondere Lstg'!F60,"")</f>
        <v/>
      </c>
      <c r="C103" s="800" t="str">
        <f>IF(AND(OR(Projektgrundlagen!$I$26,Projektgrundlagen!$I$27),'StB-D1 Besondere Lstg'!M59=TRUE),'StB-D1 Besondere Lstg'!H59,"")</f>
        <v/>
      </c>
      <c r="D103" s="800" t="str">
        <f>IF(AND(OR(Projektgrundlagen!$I$26,Projektgrundlagen!$I$27),'StB-D1 Besondere Lstg'!M59=TRUE),'StB-D1 Besondere Lstg'!I59,"")</f>
        <v/>
      </c>
      <c r="E103" s="800" t="str">
        <f>IF(AND(OR(Projektgrundlagen!$I$26,Projektgrundlagen!$I$27),'StB-D1 Besondere Lstg'!M59=TRUE),'StB-D1 Besondere Lstg'!J59,"")</f>
        <v/>
      </c>
      <c r="F103" s="800" t="str">
        <f>IF(AND(OR(Projektgrundlagen!$I$26,Projektgrundlagen!$I$27),'StB-D1 Besondere Lstg'!M59=TRUE),'StB-D1 Besondere Lstg'!K59,"")</f>
        <v/>
      </c>
      <c r="G103" s="808"/>
      <c r="H103" s="809"/>
    </row>
    <row r="104" spans="2:8" ht="16">
      <c r="B104" t="str">
        <f>IF(AND(OR(Projektgrundlagen!$I$26,Projektgrundlagen!$I$27),'StB-D1 Besondere Lstg'!M60=TRUE),'StB-D1 Besondere Lstg'!C60&amp;" "&amp;'StB-D1 Besondere Lstg'!F60&amp;" "&amp;'StB-D1 Besondere Lstg'!F61,"")</f>
        <v/>
      </c>
      <c r="C104" s="800" t="str">
        <f>IF(AND(OR(Projektgrundlagen!$I$26,Projektgrundlagen!$I$27),'StB-D1 Besondere Lstg'!M60=TRUE),'StB-D1 Besondere Lstg'!H60,"")</f>
        <v/>
      </c>
      <c r="D104" s="800" t="str">
        <f>IF(AND(OR(Projektgrundlagen!$I$26,Projektgrundlagen!$I$27),'StB-D1 Besondere Lstg'!M60=TRUE),'StB-D1 Besondere Lstg'!I60,"")</f>
        <v/>
      </c>
      <c r="E104" s="800" t="str">
        <f>IF(AND(OR(Projektgrundlagen!$I$26,Projektgrundlagen!$I$27),'StB-D1 Besondere Lstg'!M60=TRUE),'StB-D1 Besondere Lstg'!J60,"")</f>
        <v/>
      </c>
      <c r="F104" s="800" t="str">
        <f>IF(AND(OR(Projektgrundlagen!$I$26,Projektgrundlagen!$I$27),'StB-D1 Besondere Lstg'!M60=TRUE),'StB-D1 Besondere Lstg'!K60,"")</f>
        <v/>
      </c>
      <c r="G104" s="808"/>
      <c r="H104" s="809"/>
    </row>
    <row r="105" spans="2:8" ht="16">
      <c r="B105" t="str">
        <f>IF(AND(OR(Projektgrundlagen!$I$26,Projektgrundlagen!$I$27),'StB-D1 Besondere Lstg'!M61=TRUE),'StB-D1 Besondere Lstg'!C61&amp;" "&amp;'StB-D1 Besondere Lstg'!F61&amp;" "&amp;'StB-D1 Besondere Lstg'!F62,"")</f>
        <v/>
      </c>
      <c r="C105" s="800" t="str">
        <f>IF(AND(OR(Projektgrundlagen!$I$26,Projektgrundlagen!$I$27),'StB-D1 Besondere Lstg'!M61=TRUE),'StB-D1 Besondere Lstg'!H61,"")</f>
        <v/>
      </c>
      <c r="D105" s="800" t="str">
        <f>IF(AND(OR(Projektgrundlagen!$I$26,Projektgrundlagen!$I$27),'StB-D1 Besondere Lstg'!M61=TRUE),'StB-D1 Besondere Lstg'!I61,"")</f>
        <v/>
      </c>
      <c r="E105" s="800" t="str">
        <f>IF(AND(OR(Projektgrundlagen!$I$26,Projektgrundlagen!$I$27),'StB-D1 Besondere Lstg'!M61=TRUE),'StB-D1 Besondere Lstg'!J61,"")</f>
        <v/>
      </c>
      <c r="F105" s="800" t="str">
        <f>IF(AND(OR(Projektgrundlagen!$I$26,Projektgrundlagen!$I$27),'StB-D1 Besondere Lstg'!M61=TRUE),'StB-D1 Besondere Lstg'!K61,"")</f>
        <v/>
      </c>
      <c r="G105" s="808"/>
      <c r="H105" s="809"/>
    </row>
    <row r="106" spans="2:8" ht="16">
      <c r="B106" t="str">
        <f>IF(AND(OR(Projektgrundlagen!$I$26,Projektgrundlagen!$I$27),'StB-D1 Besondere Lstg'!M62=TRUE),'StB-D1 Besondere Lstg'!C62&amp;" "&amp;'StB-D1 Besondere Lstg'!F62&amp;" "&amp;'StB-D1 Besondere Lstg'!F63,"")</f>
        <v/>
      </c>
      <c r="C106" s="800" t="str">
        <f>IF(AND(OR(Projektgrundlagen!$I$26,Projektgrundlagen!$I$27),'StB-D1 Besondere Lstg'!M62=TRUE),'StB-D1 Besondere Lstg'!H62,"")</f>
        <v/>
      </c>
      <c r="D106" s="800" t="str">
        <f>IF(AND(OR(Projektgrundlagen!$I$26,Projektgrundlagen!$I$27),'StB-D1 Besondere Lstg'!M62=TRUE),'StB-D1 Besondere Lstg'!I62,"")</f>
        <v/>
      </c>
      <c r="E106" s="800" t="str">
        <f>IF(AND(OR(Projektgrundlagen!$I$26,Projektgrundlagen!$I$27),'StB-D1 Besondere Lstg'!M62=TRUE),'StB-D1 Besondere Lstg'!J62,"")</f>
        <v/>
      </c>
      <c r="F106" s="800" t="str">
        <f>IF(AND(OR(Projektgrundlagen!$I$26,Projektgrundlagen!$I$27),'StB-D1 Besondere Lstg'!M62=TRUE),'StB-D1 Besondere Lstg'!K62,"")</f>
        <v/>
      </c>
      <c r="G106" s="808"/>
      <c r="H106" s="809"/>
    </row>
    <row r="107" spans="2:8" ht="16">
      <c r="B107" t="str">
        <f>IF(AND(OR(Projektgrundlagen!$I$26,Projektgrundlagen!$I$27),'StB-D1 Besondere Lstg'!M63=TRUE),'StB-D1 Besondere Lstg'!C63&amp;" "&amp;'StB-D1 Besondere Lstg'!F63&amp;" "&amp;'StB-D1 Besondere Lstg'!F64,"")</f>
        <v/>
      </c>
      <c r="C107" s="800" t="str">
        <f>IF(AND(OR(Projektgrundlagen!$I$26,Projektgrundlagen!$I$27),'StB-D1 Besondere Lstg'!M63=TRUE),'StB-D1 Besondere Lstg'!H63,"")</f>
        <v/>
      </c>
      <c r="D107" s="800" t="str">
        <f>IF(AND(OR(Projektgrundlagen!$I$26,Projektgrundlagen!$I$27),'StB-D1 Besondere Lstg'!M63=TRUE),'StB-D1 Besondere Lstg'!I63,"")</f>
        <v/>
      </c>
      <c r="E107" s="800" t="str">
        <f>IF(AND(OR(Projektgrundlagen!$I$26,Projektgrundlagen!$I$27),'StB-D1 Besondere Lstg'!M63=TRUE),'StB-D1 Besondere Lstg'!J63,"")</f>
        <v/>
      </c>
      <c r="F107" s="800" t="str">
        <f>IF(AND(OR(Projektgrundlagen!$I$26,Projektgrundlagen!$I$27),'StB-D1 Besondere Lstg'!M63=TRUE),'StB-D1 Besondere Lstg'!K63,"")</f>
        <v/>
      </c>
      <c r="G107" s="808"/>
      <c r="H107" s="809"/>
    </row>
    <row r="108" spans="2:8" ht="16">
      <c r="B108" t="str">
        <f>IF(AND(OR(Projektgrundlagen!$I$26,Projektgrundlagen!$I$27),'StB-D1 Besondere Lstg'!M64=TRUE),'StB-D1 Besondere Lstg'!C64&amp;" "&amp;'StB-D1 Besondere Lstg'!F64&amp;" "&amp;'StB-D1 Besondere Lstg'!F65,"")</f>
        <v/>
      </c>
      <c r="C108" s="800" t="str">
        <f>IF(AND(OR(Projektgrundlagen!$I$26,Projektgrundlagen!$I$27),'StB-D1 Besondere Lstg'!M64=TRUE),'StB-D1 Besondere Lstg'!H64,"")</f>
        <v/>
      </c>
      <c r="D108" s="800" t="str">
        <f>IF(AND(OR(Projektgrundlagen!$I$26,Projektgrundlagen!$I$27),'StB-D1 Besondere Lstg'!M64=TRUE),'StB-D1 Besondere Lstg'!I64,"")</f>
        <v/>
      </c>
      <c r="E108" s="800" t="str">
        <f>IF(AND(OR(Projektgrundlagen!$I$26,Projektgrundlagen!$I$27),'StB-D1 Besondere Lstg'!M64=TRUE),'StB-D1 Besondere Lstg'!J64,"")</f>
        <v/>
      </c>
      <c r="F108" s="800" t="str">
        <f>IF(AND(OR(Projektgrundlagen!$I$26,Projektgrundlagen!$I$27),'StB-D1 Besondere Lstg'!M64=TRUE),'StB-D1 Besondere Lstg'!K64,"")</f>
        <v/>
      </c>
      <c r="G108" s="808"/>
      <c r="H108" s="809"/>
    </row>
    <row r="109" spans="2:8" ht="16">
      <c r="B109" t="str">
        <f>IF(AND(OR(Projektgrundlagen!$I$26,Projektgrundlagen!$I$27),'StB-D1 Besondere Lstg'!M65=TRUE),'StB-D1 Besondere Lstg'!C65&amp;" "&amp;'StB-D1 Besondere Lstg'!F65&amp;" "&amp;'StB-D1 Besondere Lstg'!F66,"")</f>
        <v/>
      </c>
      <c r="C109" s="800" t="str">
        <f>IF(AND(OR(Projektgrundlagen!$I$26,Projektgrundlagen!$I$27),'StB-D1 Besondere Lstg'!M65=TRUE),'StB-D1 Besondere Lstg'!H65,"")</f>
        <v/>
      </c>
      <c r="D109" s="800" t="str">
        <f>IF(AND(OR(Projektgrundlagen!$I$26,Projektgrundlagen!$I$27),'StB-D1 Besondere Lstg'!M65=TRUE),'StB-D1 Besondere Lstg'!I65,"")</f>
        <v/>
      </c>
      <c r="E109" s="800" t="str">
        <f>IF(AND(OR(Projektgrundlagen!$I$26,Projektgrundlagen!$I$27),'StB-D1 Besondere Lstg'!M65=TRUE),'StB-D1 Besondere Lstg'!J65,"")</f>
        <v/>
      </c>
      <c r="F109" s="800" t="str">
        <f>IF(AND(OR(Projektgrundlagen!$I$26,Projektgrundlagen!$I$27),'StB-D1 Besondere Lstg'!M65=TRUE),'StB-D1 Besondere Lstg'!K65,"")</f>
        <v/>
      </c>
      <c r="G109" s="808"/>
      <c r="H109" s="809"/>
    </row>
    <row r="110" spans="2:8" ht="16">
      <c r="B110" t="str">
        <f>IF(AND(OR(Projektgrundlagen!$I$26,Projektgrundlagen!$I$27),'StB-D1 Besondere Lstg'!M66=TRUE),'StB-D1 Besondere Lstg'!C66&amp;" "&amp;'StB-D1 Besondere Lstg'!F66&amp;" "&amp;'StB-D1 Besondere Lstg'!F67,"")</f>
        <v/>
      </c>
      <c r="C110" s="800" t="str">
        <f>IF(AND(OR(Projektgrundlagen!$I$26,Projektgrundlagen!$I$27),'StB-D1 Besondere Lstg'!M66=TRUE),'StB-D1 Besondere Lstg'!H66,"")</f>
        <v/>
      </c>
      <c r="D110" s="800" t="str">
        <f>IF(AND(OR(Projektgrundlagen!$I$26,Projektgrundlagen!$I$27),'StB-D1 Besondere Lstg'!M66=TRUE),'StB-D1 Besondere Lstg'!I66,"")</f>
        <v/>
      </c>
      <c r="E110" s="800" t="str">
        <f>IF(AND(OR(Projektgrundlagen!$I$26,Projektgrundlagen!$I$27),'StB-D1 Besondere Lstg'!M66=TRUE),'StB-D1 Besondere Lstg'!J66,"")</f>
        <v/>
      </c>
      <c r="F110" s="800" t="str">
        <f>IF(AND(OR(Projektgrundlagen!$I$26,Projektgrundlagen!$I$27),'StB-D1 Besondere Lstg'!M66=TRUE),'StB-D1 Besondere Lstg'!K66,"")</f>
        <v/>
      </c>
      <c r="G110" s="808"/>
      <c r="H110" s="809"/>
    </row>
    <row r="111" spans="2:8" ht="16">
      <c r="B111" t="str">
        <f>IF(AND(OR(Projektgrundlagen!$I$26,Projektgrundlagen!$I$27),'StB-D1 Besondere Lstg'!M67=TRUE),'StB-D1 Besondere Lstg'!C67&amp;" "&amp;'StB-D1 Besondere Lstg'!F67&amp;" "&amp;'StB-D1 Besondere Lstg'!F68,"")</f>
        <v/>
      </c>
      <c r="C111" s="800" t="str">
        <f>IF(AND(OR(Projektgrundlagen!$I$26,Projektgrundlagen!$I$27),'StB-D1 Besondere Lstg'!M67=TRUE),'StB-D1 Besondere Lstg'!H67,"")</f>
        <v/>
      </c>
      <c r="D111" s="800" t="str">
        <f>IF(AND(OR(Projektgrundlagen!$I$26,Projektgrundlagen!$I$27),'StB-D1 Besondere Lstg'!M67=TRUE),'StB-D1 Besondere Lstg'!I67,"")</f>
        <v/>
      </c>
      <c r="E111" s="800" t="str">
        <f>IF(AND(OR(Projektgrundlagen!$I$26,Projektgrundlagen!$I$27),'StB-D1 Besondere Lstg'!M67=TRUE),'StB-D1 Besondere Lstg'!J67,"")</f>
        <v/>
      </c>
      <c r="F111" s="800" t="str">
        <f>IF(AND(OR(Projektgrundlagen!$I$26,Projektgrundlagen!$I$27),'StB-D1 Besondere Lstg'!M67=TRUE),'StB-D1 Besondere Lstg'!K67,"")</f>
        <v/>
      </c>
      <c r="G111" s="808"/>
      <c r="H111" s="809"/>
    </row>
    <row r="112" spans="2:8" ht="16">
      <c r="B112" t="str">
        <f>IF(AND(OR(Projektgrundlagen!$I$26,Projektgrundlagen!$I$27),'StB-D1 Besondere Lstg'!M68=TRUE),'StB-D1 Besondere Lstg'!C68&amp;" "&amp;'StB-D1 Besondere Lstg'!F68&amp;" "&amp;'StB-D1 Besondere Lstg'!F69,"")</f>
        <v/>
      </c>
      <c r="C112" s="800" t="str">
        <f>IF(AND(OR(Projektgrundlagen!$I$26,Projektgrundlagen!$I$27),'StB-D1 Besondere Lstg'!M68=TRUE),'StB-D1 Besondere Lstg'!H68,"")</f>
        <v/>
      </c>
      <c r="D112" s="800" t="str">
        <f>IF(AND(OR(Projektgrundlagen!$I$26,Projektgrundlagen!$I$27),'StB-D1 Besondere Lstg'!M68=TRUE),'StB-D1 Besondere Lstg'!I68,"")</f>
        <v/>
      </c>
      <c r="E112" s="800" t="str">
        <f>IF(AND(OR(Projektgrundlagen!$I$26,Projektgrundlagen!$I$27),'StB-D1 Besondere Lstg'!M68=TRUE),'StB-D1 Besondere Lstg'!J68,"")</f>
        <v/>
      </c>
      <c r="F112" s="800" t="str">
        <f>IF(AND(OR(Projektgrundlagen!$I$26,Projektgrundlagen!$I$27),'StB-D1 Besondere Lstg'!M68=TRUE),'StB-D1 Besondere Lstg'!K68,"")</f>
        <v/>
      </c>
      <c r="G112" s="808"/>
      <c r="H112" s="809"/>
    </row>
    <row r="113" spans="2:8" ht="16">
      <c r="B113" t="str">
        <f>IF(AND(OR(Projektgrundlagen!$I$26,Projektgrundlagen!$I$27),'StB-D1 Besondere Lstg'!M69=TRUE),'StB-D1 Besondere Lstg'!C69&amp;" "&amp;'StB-D1 Besondere Lstg'!F69&amp;" "&amp;'StB-D1 Besondere Lstg'!F70,"")</f>
        <v/>
      </c>
      <c r="C113" s="800" t="str">
        <f>IF(AND(OR(Projektgrundlagen!$I$26,Projektgrundlagen!$I$27),'StB-D1 Besondere Lstg'!M69=TRUE),'StB-D1 Besondere Lstg'!H69,"")</f>
        <v/>
      </c>
      <c r="D113" s="800" t="str">
        <f>IF(AND(OR(Projektgrundlagen!$I$26,Projektgrundlagen!$I$27),'StB-D1 Besondere Lstg'!M69=TRUE),'StB-D1 Besondere Lstg'!I69,"")</f>
        <v/>
      </c>
      <c r="E113" s="800" t="str">
        <f>IF(AND(OR(Projektgrundlagen!$I$26,Projektgrundlagen!$I$27),'StB-D1 Besondere Lstg'!M69=TRUE),'StB-D1 Besondere Lstg'!J69,"")</f>
        <v/>
      </c>
      <c r="F113" s="800" t="str">
        <f>IF(AND(OR(Projektgrundlagen!$I$26,Projektgrundlagen!$I$27),'StB-D1 Besondere Lstg'!M69=TRUE),'StB-D1 Besondere Lstg'!K69,"")</f>
        <v/>
      </c>
      <c r="G113" s="808"/>
      <c r="H113" s="809"/>
    </row>
    <row r="114" spans="2:8" ht="16">
      <c r="B114" t="str">
        <f>IF(AND(OR(Projektgrundlagen!$I$26,Projektgrundlagen!$I$27),'StB-D1 Besondere Lstg'!M70=TRUE),'StB-D1 Besondere Lstg'!C70&amp;" "&amp;'StB-D1 Besondere Lstg'!F70&amp;" "&amp;'StB-D1 Besondere Lstg'!F71,"")</f>
        <v/>
      </c>
      <c r="C114" s="800" t="str">
        <f>IF(AND(OR(Projektgrundlagen!$I$26,Projektgrundlagen!$I$27),'StB-D1 Besondere Lstg'!M70=TRUE),'StB-D1 Besondere Lstg'!H70,"")</f>
        <v/>
      </c>
      <c r="D114" s="800" t="str">
        <f>IF(AND(OR(Projektgrundlagen!$I$26,Projektgrundlagen!$I$27),'StB-D1 Besondere Lstg'!M70=TRUE),'StB-D1 Besondere Lstg'!I70,"")</f>
        <v/>
      </c>
      <c r="E114" s="800" t="str">
        <f>IF(AND(OR(Projektgrundlagen!$I$26,Projektgrundlagen!$I$27),'StB-D1 Besondere Lstg'!M70=TRUE),'StB-D1 Besondere Lstg'!J70,"")</f>
        <v/>
      </c>
      <c r="F114" s="800" t="str">
        <f>IF(AND(OR(Projektgrundlagen!$I$26,Projektgrundlagen!$I$27),'StB-D1 Besondere Lstg'!M70=TRUE),'StB-D1 Besondere Lstg'!K70,"")</f>
        <v/>
      </c>
      <c r="G114" s="808"/>
      <c r="H114" s="809"/>
    </row>
    <row r="115" spans="2:8" ht="16">
      <c r="B115" t="str">
        <f>IF(AND(OR(Projektgrundlagen!$I$26,Projektgrundlagen!$I$27),'StB-D1 Besondere Lstg'!M71=TRUE),'StB-D1 Besondere Lstg'!C71&amp;" "&amp;'StB-D1 Besondere Lstg'!F71&amp;" "&amp;'StB-D1 Besondere Lstg'!F72,"")</f>
        <v/>
      </c>
      <c r="C115" s="800" t="str">
        <f>IF(AND(OR(Projektgrundlagen!$I$26,Projektgrundlagen!$I$27),'StB-D1 Besondere Lstg'!M71=TRUE),'StB-D1 Besondere Lstg'!H71,"")</f>
        <v/>
      </c>
      <c r="D115" s="800" t="str">
        <f>IF(AND(OR(Projektgrundlagen!$I$26,Projektgrundlagen!$I$27),'StB-D1 Besondere Lstg'!M71=TRUE),'StB-D1 Besondere Lstg'!I71,"")</f>
        <v/>
      </c>
      <c r="E115" s="800" t="str">
        <f>IF(AND(OR(Projektgrundlagen!$I$26,Projektgrundlagen!$I$27),'StB-D1 Besondere Lstg'!M71=TRUE),'StB-D1 Besondere Lstg'!J71,"")</f>
        <v/>
      </c>
      <c r="F115" s="800" t="str">
        <f>IF(AND(OR(Projektgrundlagen!$I$26,Projektgrundlagen!$I$27),'StB-D1 Besondere Lstg'!M71=TRUE),'StB-D1 Besondere Lstg'!K71,"")</f>
        <v/>
      </c>
      <c r="G115" s="808"/>
      <c r="H115" s="809"/>
    </row>
    <row r="116" spans="2:8" ht="16">
      <c r="B116" t="str">
        <f>IF(AND(OR(Projektgrundlagen!$I$26,Projektgrundlagen!$I$27),'StB-D1 Besondere Lstg'!M72=TRUE),'StB-D1 Besondere Lstg'!C72&amp;" "&amp;'StB-D1 Besondere Lstg'!F72&amp;" "&amp;'StB-D1 Besondere Lstg'!F73,"")</f>
        <v/>
      </c>
      <c r="C116" s="800" t="str">
        <f>IF(AND(OR(Projektgrundlagen!$I$26,Projektgrundlagen!$I$27),'StB-D1 Besondere Lstg'!M72=TRUE),'StB-D1 Besondere Lstg'!H72,"")</f>
        <v/>
      </c>
      <c r="D116" s="800" t="str">
        <f>IF(AND(OR(Projektgrundlagen!$I$26,Projektgrundlagen!$I$27),'StB-D1 Besondere Lstg'!M72=TRUE),'StB-D1 Besondere Lstg'!I72,"")</f>
        <v/>
      </c>
      <c r="E116" s="800" t="str">
        <f>IF(AND(OR(Projektgrundlagen!$I$26,Projektgrundlagen!$I$27),'StB-D1 Besondere Lstg'!M72=TRUE),'StB-D1 Besondere Lstg'!J72,"")</f>
        <v/>
      </c>
      <c r="F116" s="800" t="str">
        <f>IF(AND(OR(Projektgrundlagen!$I$26,Projektgrundlagen!$I$27),'StB-D1 Besondere Lstg'!M72=TRUE),'StB-D1 Besondere Lstg'!K72,"")</f>
        <v/>
      </c>
      <c r="G116" s="808"/>
      <c r="H116" s="809"/>
    </row>
    <row r="117" spans="2:8" ht="16">
      <c r="B117" t="str">
        <f>IF(AND(OR(Projektgrundlagen!$I$26,Projektgrundlagen!$I$27),'StB-D1 Besondere Lstg'!M73=TRUE),'StB-D1 Besondere Lstg'!C73&amp;" "&amp;'StB-D1 Besondere Lstg'!F73&amp;" "&amp;'StB-D1 Besondere Lstg'!F74,"")</f>
        <v/>
      </c>
      <c r="C117" s="800" t="str">
        <f>IF(AND(OR(Projektgrundlagen!$I$26,Projektgrundlagen!$I$27),'StB-D1 Besondere Lstg'!M73=TRUE),'StB-D1 Besondere Lstg'!H73,"")</f>
        <v/>
      </c>
      <c r="D117" s="800" t="str">
        <f>IF(AND(OR(Projektgrundlagen!$I$26,Projektgrundlagen!$I$27),'StB-D1 Besondere Lstg'!M73=TRUE),'StB-D1 Besondere Lstg'!I73,"")</f>
        <v/>
      </c>
      <c r="E117" s="800" t="str">
        <f>IF(AND(OR(Projektgrundlagen!$I$26,Projektgrundlagen!$I$27),'StB-D1 Besondere Lstg'!M73=TRUE),'StB-D1 Besondere Lstg'!J73,"")</f>
        <v/>
      </c>
      <c r="F117" s="800" t="str">
        <f>IF(AND(OR(Projektgrundlagen!$I$26,Projektgrundlagen!$I$27),'StB-D1 Besondere Lstg'!M73=TRUE),'StB-D1 Besondere Lstg'!K73,"")</f>
        <v/>
      </c>
      <c r="G117" s="808"/>
      <c r="H117" s="809"/>
    </row>
    <row r="118" spans="2:8" ht="16">
      <c r="B118" t="str">
        <f>IF(AND(OR(Projektgrundlagen!$I$26,Projektgrundlagen!$I$27),'StB-D1 Besondere Lstg'!M74=TRUE),'StB-D1 Besondere Lstg'!C74&amp;" "&amp;'StB-D1 Besondere Lstg'!F74&amp;" "&amp;'StB-D1 Besondere Lstg'!F75,"")</f>
        <v/>
      </c>
      <c r="C118" s="800" t="str">
        <f>IF(AND(OR(Projektgrundlagen!$I$26,Projektgrundlagen!$I$27),'StB-D1 Besondere Lstg'!M74=TRUE),'StB-D1 Besondere Lstg'!H74,"")</f>
        <v/>
      </c>
      <c r="D118" s="800" t="str">
        <f>IF(AND(OR(Projektgrundlagen!$I$26,Projektgrundlagen!$I$27),'StB-D1 Besondere Lstg'!M74=TRUE),'StB-D1 Besondere Lstg'!I74,"")</f>
        <v/>
      </c>
      <c r="E118" s="800" t="str">
        <f>IF(AND(OR(Projektgrundlagen!$I$26,Projektgrundlagen!$I$27),'StB-D1 Besondere Lstg'!M74=TRUE),'StB-D1 Besondere Lstg'!J74,"")</f>
        <v/>
      </c>
      <c r="F118" s="800" t="str">
        <f>IF(AND(OR(Projektgrundlagen!$I$26,Projektgrundlagen!$I$27),'StB-D1 Besondere Lstg'!M74=TRUE),'StB-D1 Besondere Lstg'!K74,"")</f>
        <v/>
      </c>
      <c r="G118" s="808"/>
      <c r="H118" s="809"/>
    </row>
    <row r="119" spans="2:8" ht="16">
      <c r="B119" t="str">
        <f>IF(AND(OR(Projektgrundlagen!$I$26,Projektgrundlagen!$I$27),'StB-D1 Besondere Lstg'!M75=TRUE),'StB-D1 Besondere Lstg'!C75&amp;" "&amp;'StB-D1 Besondere Lstg'!F75&amp;" "&amp;'StB-D1 Besondere Lstg'!F76,"")</f>
        <v/>
      </c>
      <c r="C119" s="800" t="str">
        <f>IF(AND(OR(Projektgrundlagen!$I$26,Projektgrundlagen!$I$27),'StB-D1 Besondere Lstg'!M75=TRUE),'StB-D1 Besondere Lstg'!H75,"")</f>
        <v/>
      </c>
      <c r="D119" s="800" t="str">
        <f>IF(AND(OR(Projektgrundlagen!$I$26,Projektgrundlagen!$I$27),'StB-D1 Besondere Lstg'!M75=TRUE),'StB-D1 Besondere Lstg'!I75,"")</f>
        <v/>
      </c>
      <c r="E119" s="800" t="str">
        <f>IF(AND(OR(Projektgrundlagen!$I$26,Projektgrundlagen!$I$27),'StB-D1 Besondere Lstg'!M75=TRUE),'StB-D1 Besondere Lstg'!J75,"")</f>
        <v/>
      </c>
      <c r="F119" s="800" t="str">
        <f>IF(AND(OR(Projektgrundlagen!$I$26,Projektgrundlagen!$I$27),'StB-D1 Besondere Lstg'!M75=TRUE),'StB-D1 Besondere Lstg'!K75,"")</f>
        <v/>
      </c>
      <c r="G119" s="808"/>
      <c r="H119" s="809"/>
    </row>
    <row r="120" spans="2:8" ht="16">
      <c r="B120" t="str">
        <f>IF(AND(OR(Projektgrundlagen!$I$26,Projektgrundlagen!$I$27),'StB-D1 Besondere Lstg'!M76=TRUE),'StB-D1 Besondere Lstg'!C76&amp;" "&amp;'StB-D1 Besondere Lstg'!F76&amp;" "&amp;'StB-D1 Besondere Lstg'!F77,"")</f>
        <v/>
      </c>
      <c r="C120" s="800" t="str">
        <f>IF(AND(OR(Projektgrundlagen!$I$26,Projektgrundlagen!$I$27),'StB-D1 Besondere Lstg'!M76=TRUE),'StB-D1 Besondere Lstg'!H76,"")</f>
        <v/>
      </c>
      <c r="D120" s="800" t="str">
        <f>IF(AND(OR(Projektgrundlagen!$I$26,Projektgrundlagen!$I$27),'StB-D1 Besondere Lstg'!M76=TRUE),'StB-D1 Besondere Lstg'!I76,"")</f>
        <v/>
      </c>
      <c r="E120" s="800" t="str">
        <f>IF(AND(OR(Projektgrundlagen!$I$26,Projektgrundlagen!$I$27),'StB-D1 Besondere Lstg'!M76=TRUE),'StB-D1 Besondere Lstg'!J76,"")</f>
        <v/>
      </c>
      <c r="F120" s="800" t="str">
        <f>IF(AND(OR(Projektgrundlagen!$I$26,Projektgrundlagen!$I$27),'StB-D1 Besondere Lstg'!M76=TRUE),'StB-D1 Besondere Lstg'!K76,"")</f>
        <v/>
      </c>
      <c r="G120" s="808"/>
      <c r="H120" s="809"/>
    </row>
    <row r="121" spans="2:8" ht="16">
      <c r="B121" t="str">
        <f>IF(AND(OR(Projektgrundlagen!$I$26,Projektgrundlagen!$I$27),'StB-D1 Besondere Lstg'!M77=TRUE),'StB-D1 Besondere Lstg'!C77&amp;" "&amp;'StB-D1 Besondere Lstg'!F77&amp;" "&amp;'StB-D1 Besondere Lstg'!F78,"")</f>
        <v/>
      </c>
      <c r="C121" s="800" t="str">
        <f>IF(AND(OR(Projektgrundlagen!$I$26,Projektgrundlagen!$I$27),'StB-D1 Besondere Lstg'!M77=TRUE),'StB-D1 Besondere Lstg'!H77,"")</f>
        <v/>
      </c>
      <c r="D121" s="800" t="str">
        <f>IF(AND(OR(Projektgrundlagen!$I$26,Projektgrundlagen!$I$27),'StB-D1 Besondere Lstg'!M77=TRUE),'StB-D1 Besondere Lstg'!I77,"")</f>
        <v/>
      </c>
      <c r="E121" s="800" t="str">
        <f>IF(AND(OR(Projektgrundlagen!$I$26,Projektgrundlagen!$I$27),'StB-D1 Besondere Lstg'!M77=TRUE),'StB-D1 Besondere Lstg'!J77,"")</f>
        <v/>
      </c>
      <c r="F121" s="800" t="str">
        <f>IF(AND(OR(Projektgrundlagen!$I$26,Projektgrundlagen!$I$27),'StB-D1 Besondere Lstg'!M77=TRUE),'StB-D1 Besondere Lstg'!K77,"")</f>
        <v/>
      </c>
      <c r="G121" s="808"/>
      <c r="H121" s="809"/>
    </row>
    <row r="122" spans="2:8" ht="16">
      <c r="B122" t="str">
        <f>IF(AND(OR(Projektgrundlagen!$I$26,Projektgrundlagen!$I$27),'StB-D1 Besondere Lstg'!M78=TRUE),'StB-D1 Besondere Lstg'!C78&amp;" "&amp;'StB-D1 Besondere Lstg'!F78&amp;" "&amp;'StB-D1 Besondere Lstg'!F79,"")</f>
        <v/>
      </c>
      <c r="C122" s="800" t="str">
        <f>IF(AND(OR(Projektgrundlagen!$I$26,Projektgrundlagen!$I$27),'StB-D1 Besondere Lstg'!M78=TRUE),'StB-D1 Besondere Lstg'!H78,"")</f>
        <v/>
      </c>
      <c r="D122" s="800" t="str">
        <f>IF(AND(OR(Projektgrundlagen!$I$26,Projektgrundlagen!$I$27),'StB-D1 Besondere Lstg'!M78=TRUE),'StB-D1 Besondere Lstg'!I78,"")</f>
        <v/>
      </c>
      <c r="E122" s="800" t="str">
        <f>IF(AND(OR(Projektgrundlagen!$I$26,Projektgrundlagen!$I$27),'StB-D1 Besondere Lstg'!M78=TRUE),'StB-D1 Besondere Lstg'!J78,"")</f>
        <v/>
      </c>
      <c r="F122" s="800" t="str">
        <f>IF(AND(OR(Projektgrundlagen!$I$26,Projektgrundlagen!$I$27),'StB-D1 Besondere Lstg'!M78=TRUE),'StB-D1 Besondere Lstg'!K78,"")</f>
        <v/>
      </c>
      <c r="G122" s="808"/>
      <c r="H122" s="809"/>
    </row>
    <row r="123" spans="2:8" ht="16">
      <c r="B123" t="str">
        <f>IF(AND(OR(Projektgrundlagen!$I$26,Projektgrundlagen!$I$27),'StB-D1 Besondere Lstg'!M79=TRUE),'StB-D1 Besondere Lstg'!C79&amp;" "&amp;'StB-D1 Besondere Lstg'!F79&amp;" "&amp;'StB-D1 Besondere Lstg'!F80,"")</f>
        <v/>
      </c>
      <c r="C123" s="800" t="str">
        <f>IF(AND(OR(Projektgrundlagen!$I$26,Projektgrundlagen!$I$27),'StB-D1 Besondere Lstg'!M79=TRUE),'StB-D1 Besondere Lstg'!H79,"")</f>
        <v/>
      </c>
      <c r="D123" s="800" t="str">
        <f>IF(AND(OR(Projektgrundlagen!$I$26,Projektgrundlagen!$I$27),'StB-D1 Besondere Lstg'!M79=TRUE),'StB-D1 Besondere Lstg'!I79,"")</f>
        <v/>
      </c>
      <c r="E123" s="800" t="str">
        <f>IF(AND(OR(Projektgrundlagen!$I$26,Projektgrundlagen!$I$27),'StB-D1 Besondere Lstg'!M79=TRUE),'StB-D1 Besondere Lstg'!J79,"")</f>
        <v/>
      </c>
      <c r="F123" s="800" t="str">
        <f>IF(AND(OR(Projektgrundlagen!$I$26,Projektgrundlagen!$I$27),'StB-D1 Besondere Lstg'!M79=TRUE),'StB-D1 Besondere Lstg'!K79,"")</f>
        <v/>
      </c>
      <c r="G123" s="808"/>
      <c r="H123" s="809"/>
    </row>
    <row r="124" spans="2:8" ht="16">
      <c r="B124" t="str">
        <f>IF(AND(OR(Projektgrundlagen!$I$26,Projektgrundlagen!$I$27),'StB-D1 Besondere Lstg'!M80=TRUE),'StB-D1 Besondere Lstg'!C80&amp;" "&amp;'StB-D1 Besondere Lstg'!F80&amp;" "&amp;'StB-D1 Besondere Lstg'!F81,"")</f>
        <v/>
      </c>
      <c r="C124" s="800" t="str">
        <f>IF(AND(OR(Projektgrundlagen!$I$26,Projektgrundlagen!$I$27),'StB-D1 Besondere Lstg'!M80=TRUE),'StB-D1 Besondere Lstg'!H80,"")</f>
        <v/>
      </c>
      <c r="D124" s="800" t="str">
        <f>IF(AND(OR(Projektgrundlagen!$I$26,Projektgrundlagen!$I$27),'StB-D1 Besondere Lstg'!M80=TRUE),'StB-D1 Besondere Lstg'!I80,"")</f>
        <v/>
      </c>
      <c r="E124" s="800" t="str">
        <f>IF(AND(OR(Projektgrundlagen!$I$26,Projektgrundlagen!$I$27),'StB-D1 Besondere Lstg'!M80=TRUE),'StB-D1 Besondere Lstg'!J80,"")</f>
        <v/>
      </c>
      <c r="F124" s="800" t="str">
        <f>IF(AND(OR(Projektgrundlagen!$I$26,Projektgrundlagen!$I$27),'StB-D1 Besondere Lstg'!M80=TRUE),'StB-D1 Besondere Lstg'!K80,"")</f>
        <v/>
      </c>
      <c r="G124" s="808"/>
      <c r="H124" s="809"/>
    </row>
    <row r="125" spans="2:8" ht="16">
      <c r="B125" t="str">
        <f>IF(AND(OR(Projektgrundlagen!$I$26,Projektgrundlagen!$I$27),'StB-D1 Besondere Lstg'!M81=TRUE),'StB-D1 Besondere Lstg'!C81&amp;" "&amp;'StB-D1 Besondere Lstg'!F81&amp;" "&amp;'StB-D1 Besondere Lstg'!F82,"")</f>
        <v/>
      </c>
      <c r="C125" s="800" t="str">
        <f>IF(AND(OR(Projektgrundlagen!$I$26,Projektgrundlagen!$I$27),'StB-D1 Besondere Lstg'!M81=TRUE),'StB-D1 Besondere Lstg'!H81,"")</f>
        <v/>
      </c>
      <c r="D125" s="800" t="str">
        <f>IF(AND(OR(Projektgrundlagen!$I$26,Projektgrundlagen!$I$27),'StB-D1 Besondere Lstg'!M81=TRUE),'StB-D1 Besondere Lstg'!I81,"")</f>
        <v/>
      </c>
      <c r="E125" s="800" t="str">
        <f>IF(AND(OR(Projektgrundlagen!$I$26,Projektgrundlagen!$I$27),'StB-D1 Besondere Lstg'!M81=TRUE),'StB-D1 Besondere Lstg'!J81,"")</f>
        <v/>
      </c>
      <c r="F125" s="800" t="str">
        <f>IF(AND(OR(Projektgrundlagen!$I$26,Projektgrundlagen!$I$27),'StB-D1 Besondere Lstg'!M81=TRUE),'StB-D1 Besondere Lstg'!K81,"")</f>
        <v/>
      </c>
      <c r="G125" s="808"/>
      <c r="H125" s="809"/>
    </row>
    <row r="126" spans="2:8" ht="16">
      <c r="B126" t="str">
        <f>IF(AND(OR(Projektgrundlagen!$I$26,Projektgrundlagen!$I$27),'StB-D1 Besondere Lstg'!M82=TRUE),'StB-D1 Besondere Lstg'!C82&amp;" "&amp;'StB-D1 Besondere Lstg'!F82&amp;" "&amp;'StB-D1 Besondere Lstg'!F83,"")</f>
        <v/>
      </c>
      <c r="C126" s="800" t="str">
        <f>IF(AND(OR(Projektgrundlagen!$I$26,Projektgrundlagen!$I$27),'StB-D1 Besondere Lstg'!M82=TRUE),'StB-D1 Besondere Lstg'!H82,"")</f>
        <v/>
      </c>
      <c r="D126" s="800" t="str">
        <f>IF(AND(OR(Projektgrundlagen!$I$26,Projektgrundlagen!$I$27),'StB-D1 Besondere Lstg'!M82=TRUE),'StB-D1 Besondere Lstg'!I82,"")</f>
        <v/>
      </c>
      <c r="E126" s="800" t="str">
        <f>IF(AND(OR(Projektgrundlagen!$I$26,Projektgrundlagen!$I$27),'StB-D1 Besondere Lstg'!M82=TRUE),'StB-D1 Besondere Lstg'!J82,"")</f>
        <v/>
      </c>
      <c r="F126" s="800" t="str">
        <f>IF(AND(OR(Projektgrundlagen!$I$26,Projektgrundlagen!$I$27),'StB-D1 Besondere Lstg'!M82=TRUE),'StB-D1 Besondere Lstg'!K82,"")</f>
        <v/>
      </c>
      <c r="G126" s="808"/>
      <c r="H126" s="809"/>
    </row>
    <row r="127" spans="2:8" ht="16">
      <c r="B127" t="str">
        <f>IF(AND(OR(Projektgrundlagen!$I$26,Projektgrundlagen!$I$27),'StB-D1 Besondere Lstg'!M83=TRUE),'StB-D1 Besondere Lstg'!C83&amp;" "&amp;'StB-D1 Besondere Lstg'!F83&amp;" "&amp;'StB-D1 Besondere Lstg'!F84,"")</f>
        <v/>
      </c>
      <c r="C127" s="800" t="str">
        <f>IF(AND(OR(Projektgrundlagen!$I$26,Projektgrundlagen!$I$27),'StB-D1 Besondere Lstg'!M83=TRUE),'StB-D1 Besondere Lstg'!H83,"")</f>
        <v/>
      </c>
      <c r="D127" s="800" t="str">
        <f>IF(AND(OR(Projektgrundlagen!$I$26,Projektgrundlagen!$I$27),'StB-D1 Besondere Lstg'!M83=TRUE),'StB-D1 Besondere Lstg'!I83,"")</f>
        <v/>
      </c>
      <c r="E127" s="800" t="str">
        <f>IF(AND(OR(Projektgrundlagen!$I$26,Projektgrundlagen!$I$27),'StB-D1 Besondere Lstg'!M83=TRUE),'StB-D1 Besondere Lstg'!J83,"")</f>
        <v/>
      </c>
      <c r="F127" s="800" t="str">
        <f>IF(AND(OR(Projektgrundlagen!$I$26,Projektgrundlagen!$I$27),'StB-D1 Besondere Lstg'!M83=TRUE),'StB-D1 Besondere Lstg'!K83,"")</f>
        <v/>
      </c>
      <c r="G127" s="808"/>
      <c r="H127" s="809"/>
    </row>
    <row r="128" spans="2:8" ht="16">
      <c r="B128" t="str">
        <f>IF(AND(OR(Projektgrundlagen!$I$26,Projektgrundlagen!$I$27),'StB-D1 Besondere Lstg'!M84=TRUE),'StB-D1 Besondere Lstg'!C84&amp;" "&amp;'StB-D1 Besondere Lstg'!F84&amp;" "&amp;'StB-D1 Besondere Lstg'!F85,"")</f>
        <v/>
      </c>
      <c r="C128" s="800" t="str">
        <f>IF(AND(OR(Projektgrundlagen!$I$26,Projektgrundlagen!$I$27),'StB-D1 Besondere Lstg'!M84=TRUE),'StB-D1 Besondere Lstg'!H84,"")</f>
        <v/>
      </c>
      <c r="D128" s="800" t="str">
        <f>IF(AND(OR(Projektgrundlagen!$I$26,Projektgrundlagen!$I$27),'StB-D1 Besondere Lstg'!M84=TRUE),'StB-D1 Besondere Lstg'!I84,"")</f>
        <v/>
      </c>
      <c r="E128" s="800" t="str">
        <f>IF(AND(OR(Projektgrundlagen!$I$26,Projektgrundlagen!$I$27),'StB-D1 Besondere Lstg'!M84=TRUE),'StB-D1 Besondere Lstg'!J84,"")</f>
        <v/>
      </c>
      <c r="F128" s="800" t="str">
        <f>IF(AND(OR(Projektgrundlagen!$I$26,Projektgrundlagen!$I$27),'StB-D1 Besondere Lstg'!M84=TRUE),'StB-D1 Besondere Lstg'!K84,"")</f>
        <v/>
      </c>
      <c r="G128" s="808"/>
      <c r="H128" s="809"/>
    </row>
    <row r="129" spans="2:8" ht="16">
      <c r="B129" t="str">
        <f>IF(AND(OR(Projektgrundlagen!$I$26,Projektgrundlagen!$I$27),'StB-D1 Besondere Lstg'!M85=TRUE),'StB-D1 Besondere Lstg'!C85&amp;" "&amp;'StB-D1 Besondere Lstg'!F85&amp;" "&amp;'StB-D1 Besondere Lstg'!F86,"")</f>
        <v/>
      </c>
      <c r="C129" s="800" t="str">
        <f>IF(AND(OR(Projektgrundlagen!$I$26,Projektgrundlagen!$I$27),'StB-D1 Besondere Lstg'!M85=TRUE),'StB-D1 Besondere Lstg'!H85,"")</f>
        <v/>
      </c>
      <c r="D129" s="800" t="str">
        <f>IF(AND(OR(Projektgrundlagen!$I$26,Projektgrundlagen!$I$27),'StB-D1 Besondere Lstg'!M85=TRUE),'StB-D1 Besondere Lstg'!I85,"")</f>
        <v/>
      </c>
      <c r="E129" s="800" t="str">
        <f>IF(AND(OR(Projektgrundlagen!$I$26,Projektgrundlagen!$I$27),'StB-D1 Besondere Lstg'!M85=TRUE),'StB-D1 Besondere Lstg'!J85,"")</f>
        <v/>
      </c>
      <c r="F129" s="800" t="str">
        <f>IF(AND(OR(Projektgrundlagen!$I$26,Projektgrundlagen!$I$27),'StB-D1 Besondere Lstg'!M85=TRUE),'StB-D1 Besondere Lstg'!K85,"")</f>
        <v/>
      </c>
      <c r="G129" s="808"/>
      <c r="H129" s="809"/>
    </row>
    <row r="130" spans="2:8" ht="16">
      <c r="B130" t="str">
        <f>IF(AND(OR(Projektgrundlagen!$I$26,Projektgrundlagen!$I$27),'StB-D1 Besondere Lstg'!M86=TRUE),'StB-D1 Besondere Lstg'!C86&amp;" "&amp;'StB-D1 Besondere Lstg'!F86&amp;" "&amp;'StB-D1 Besondere Lstg'!F87,"")</f>
        <v/>
      </c>
      <c r="C130" s="800" t="str">
        <f>IF(AND(OR(Projektgrundlagen!$I$26,Projektgrundlagen!$I$27),'StB-D1 Besondere Lstg'!M86=TRUE),'StB-D1 Besondere Lstg'!H86,"")</f>
        <v/>
      </c>
      <c r="D130" s="800" t="str">
        <f>IF(AND(OR(Projektgrundlagen!$I$26,Projektgrundlagen!$I$27),'StB-D1 Besondere Lstg'!M86=TRUE),'StB-D1 Besondere Lstg'!I86,"")</f>
        <v/>
      </c>
      <c r="E130" s="800" t="str">
        <f>IF(AND(OR(Projektgrundlagen!$I$26,Projektgrundlagen!$I$27),'StB-D1 Besondere Lstg'!M86=TRUE),'StB-D1 Besondere Lstg'!J86,"")</f>
        <v/>
      </c>
      <c r="F130" s="800" t="str">
        <f>IF(AND(OR(Projektgrundlagen!$I$26,Projektgrundlagen!$I$27),'StB-D1 Besondere Lstg'!M86=TRUE),'StB-D1 Besondere Lstg'!K86,"")</f>
        <v/>
      </c>
      <c r="G130" s="808"/>
      <c r="H130" s="809"/>
    </row>
    <row r="131" spans="2:8" ht="16">
      <c r="B131" t="str">
        <f>IF(AND(OR(Projektgrundlagen!$I$26,Projektgrundlagen!$I$27),'StB-D1 Besondere Lstg'!M87=TRUE),'StB-D1 Besondere Lstg'!C87&amp;" "&amp;'StB-D1 Besondere Lstg'!F87&amp;" "&amp;'StB-D1 Besondere Lstg'!F88,"")</f>
        <v/>
      </c>
      <c r="C131" s="800" t="str">
        <f>IF(AND(OR(Projektgrundlagen!$I$26,Projektgrundlagen!$I$27),'StB-D1 Besondere Lstg'!M87=TRUE),'StB-D1 Besondere Lstg'!H87,"")</f>
        <v/>
      </c>
      <c r="D131" s="800" t="str">
        <f>IF(AND(OR(Projektgrundlagen!$I$26,Projektgrundlagen!$I$27),'StB-D1 Besondere Lstg'!M87=TRUE),'StB-D1 Besondere Lstg'!I87,"")</f>
        <v/>
      </c>
      <c r="E131" s="800" t="str">
        <f>IF(AND(OR(Projektgrundlagen!$I$26,Projektgrundlagen!$I$27),'StB-D1 Besondere Lstg'!M87=TRUE),'StB-D1 Besondere Lstg'!J87,"")</f>
        <v/>
      </c>
      <c r="F131" s="800" t="str">
        <f>IF(AND(OR(Projektgrundlagen!$I$26,Projektgrundlagen!$I$27),'StB-D1 Besondere Lstg'!M87=TRUE),'StB-D1 Besondere Lstg'!K87,"")</f>
        <v/>
      </c>
      <c r="G131" s="808"/>
      <c r="H131" s="809"/>
    </row>
    <row r="132" spans="2:8" ht="16">
      <c r="B132" t="str">
        <f>IF(AND(OR(Projektgrundlagen!$I$26,Projektgrundlagen!$I$27),'StB-D1 Besondere Lstg'!M88=TRUE),'StB-D1 Besondere Lstg'!C88&amp;" "&amp;'StB-D1 Besondere Lstg'!F88&amp;" "&amp;'StB-D1 Besondere Lstg'!F89,"")</f>
        <v/>
      </c>
      <c r="C132" s="800" t="str">
        <f>IF(AND(OR(Projektgrundlagen!$I$26,Projektgrundlagen!$I$27),'StB-D1 Besondere Lstg'!M88=TRUE),'StB-D1 Besondere Lstg'!H88,"")</f>
        <v/>
      </c>
      <c r="D132" s="800" t="str">
        <f>IF(AND(OR(Projektgrundlagen!$I$26,Projektgrundlagen!$I$27),'StB-D1 Besondere Lstg'!M88=TRUE),'StB-D1 Besondere Lstg'!I88,"")</f>
        <v/>
      </c>
      <c r="E132" s="800" t="str">
        <f>IF(AND(OR(Projektgrundlagen!$I$26,Projektgrundlagen!$I$27),'StB-D1 Besondere Lstg'!M88=TRUE),'StB-D1 Besondere Lstg'!J88,"")</f>
        <v/>
      </c>
      <c r="F132" s="800" t="str">
        <f>IF(AND(OR(Projektgrundlagen!$I$26,Projektgrundlagen!$I$27),'StB-D1 Besondere Lstg'!M88=TRUE),'StB-D1 Besondere Lstg'!K88,"")</f>
        <v/>
      </c>
      <c r="G132" s="808"/>
      <c r="H132" s="809"/>
    </row>
    <row r="133" spans="2:8" ht="16">
      <c r="B133" t="str">
        <f>IF(AND(OR(Projektgrundlagen!$I$26,Projektgrundlagen!$I$27),'StB-D1 Besondere Lstg'!M89=TRUE),'StB-D1 Besondere Lstg'!C89&amp;" "&amp;'StB-D1 Besondere Lstg'!F89&amp;" "&amp;'StB-D1 Besondere Lstg'!F90,"")</f>
        <v/>
      </c>
      <c r="C133" s="800" t="str">
        <f>IF(AND(OR(Projektgrundlagen!$I$26,Projektgrundlagen!$I$27),'StB-D1 Besondere Lstg'!M89=TRUE),'StB-D1 Besondere Lstg'!H89,"")</f>
        <v/>
      </c>
      <c r="D133" s="800" t="str">
        <f>IF(AND(OR(Projektgrundlagen!$I$26,Projektgrundlagen!$I$27),'StB-D1 Besondere Lstg'!M89=TRUE),'StB-D1 Besondere Lstg'!I89,"")</f>
        <v/>
      </c>
      <c r="E133" s="800" t="str">
        <f>IF(AND(OR(Projektgrundlagen!$I$26,Projektgrundlagen!$I$27),'StB-D1 Besondere Lstg'!M89=TRUE),'StB-D1 Besondere Lstg'!J89,"")</f>
        <v/>
      </c>
      <c r="F133" s="800" t="str">
        <f>IF(AND(OR(Projektgrundlagen!$I$26,Projektgrundlagen!$I$27),'StB-D1 Besondere Lstg'!M89=TRUE),'StB-D1 Besondere Lstg'!K89,"")</f>
        <v/>
      </c>
      <c r="G133" s="808"/>
      <c r="H133" s="809"/>
    </row>
    <row r="134" spans="2:8" ht="16">
      <c r="B134" t="str">
        <f>IF(AND(OR(Projektgrundlagen!$I$26,Projektgrundlagen!$I$27),'StB-D1 Besondere Lstg'!M90=TRUE),'StB-D1 Besondere Lstg'!C90&amp;" "&amp;'StB-D1 Besondere Lstg'!F90&amp;" "&amp;'StB-D1 Besondere Lstg'!F91,"")</f>
        <v/>
      </c>
      <c r="C134" s="800" t="str">
        <f>IF(AND(OR(Projektgrundlagen!$I$26,Projektgrundlagen!$I$27),'StB-D1 Besondere Lstg'!M90=TRUE),'StB-D1 Besondere Lstg'!H90,"")</f>
        <v/>
      </c>
      <c r="D134" s="800" t="str">
        <f>IF(AND(OR(Projektgrundlagen!$I$26,Projektgrundlagen!$I$27),'StB-D1 Besondere Lstg'!M90=TRUE),'StB-D1 Besondere Lstg'!I90,"")</f>
        <v/>
      </c>
      <c r="E134" s="800" t="str">
        <f>IF(AND(OR(Projektgrundlagen!$I$26,Projektgrundlagen!$I$27),'StB-D1 Besondere Lstg'!M90=TRUE),'StB-D1 Besondere Lstg'!J90,"")</f>
        <v/>
      </c>
      <c r="F134" s="800" t="str">
        <f>IF(AND(OR(Projektgrundlagen!$I$26,Projektgrundlagen!$I$27),'StB-D1 Besondere Lstg'!M90=TRUE),'StB-D1 Besondere Lstg'!K90,"")</f>
        <v/>
      </c>
      <c r="G134" s="808"/>
      <c r="H134" s="809"/>
    </row>
    <row r="135" spans="2:8" ht="16">
      <c r="B135" t="str">
        <f>IF(AND(OR(Projektgrundlagen!$I$26,Projektgrundlagen!$I$27),'StB-D1 Besondere Lstg'!M91=TRUE),'StB-D1 Besondere Lstg'!C91&amp;" "&amp;'StB-D1 Besondere Lstg'!F91&amp;" "&amp;'StB-D1 Besondere Lstg'!F92,"")</f>
        <v/>
      </c>
      <c r="C135" s="800" t="str">
        <f>IF(AND(OR(Projektgrundlagen!$I$26,Projektgrundlagen!$I$27),'StB-D1 Besondere Lstg'!M91=TRUE),'StB-D1 Besondere Lstg'!H91,"")</f>
        <v/>
      </c>
      <c r="D135" s="800" t="str">
        <f>IF(AND(OR(Projektgrundlagen!$I$26,Projektgrundlagen!$I$27),'StB-D1 Besondere Lstg'!M91=TRUE),'StB-D1 Besondere Lstg'!I91,"")</f>
        <v/>
      </c>
      <c r="E135" s="800" t="str">
        <f>IF(AND(OR(Projektgrundlagen!$I$26,Projektgrundlagen!$I$27),'StB-D1 Besondere Lstg'!M91=TRUE),'StB-D1 Besondere Lstg'!J91,"")</f>
        <v/>
      </c>
      <c r="F135" s="800" t="str">
        <f>IF(AND(OR(Projektgrundlagen!$I$26,Projektgrundlagen!$I$27),'StB-D1 Besondere Lstg'!M91=TRUE),'StB-D1 Besondere Lstg'!K91,"")</f>
        <v/>
      </c>
      <c r="G135" s="808"/>
      <c r="H135" s="809"/>
    </row>
    <row r="136" spans="2:8" ht="16">
      <c r="B136" t="str">
        <f>IF(AND(OR(Projektgrundlagen!$I$26,Projektgrundlagen!$I$27),'StB-D1 Besondere Lstg'!M92=TRUE),'StB-D1 Besondere Lstg'!C92&amp;" "&amp;'StB-D1 Besondere Lstg'!F92&amp;" "&amp;'StB-D1 Besondere Lstg'!F93,"")</f>
        <v/>
      </c>
      <c r="C136" s="800" t="str">
        <f>IF(AND(OR(Projektgrundlagen!$I$26,Projektgrundlagen!$I$27),'StB-D1 Besondere Lstg'!M92=TRUE),'StB-D1 Besondere Lstg'!H92,"")</f>
        <v/>
      </c>
      <c r="D136" s="800" t="str">
        <f>IF(AND(OR(Projektgrundlagen!$I$26,Projektgrundlagen!$I$27),'StB-D1 Besondere Lstg'!M92=TRUE),'StB-D1 Besondere Lstg'!I92,"")</f>
        <v/>
      </c>
      <c r="E136" s="800" t="str">
        <f>IF(AND(OR(Projektgrundlagen!$I$26,Projektgrundlagen!$I$27),'StB-D1 Besondere Lstg'!M92=TRUE),'StB-D1 Besondere Lstg'!J92,"")</f>
        <v/>
      </c>
      <c r="F136" s="800" t="str">
        <f>IF(AND(OR(Projektgrundlagen!$I$26,Projektgrundlagen!$I$27),'StB-D1 Besondere Lstg'!M92=TRUE),'StB-D1 Besondere Lstg'!K92,"")</f>
        <v/>
      </c>
      <c r="G136" s="808"/>
      <c r="H136" s="809"/>
    </row>
    <row r="137" spans="2:8" ht="16">
      <c r="B137" t="str">
        <f>IF(AND(OR(Projektgrundlagen!$I$26,Projektgrundlagen!$I$27),'StB-D1 Besondere Lstg'!M93=TRUE),'StB-D1 Besondere Lstg'!C93&amp;" "&amp;'StB-D1 Besondere Lstg'!F93&amp;" "&amp;'StB-D1 Besondere Lstg'!F94,"")</f>
        <v/>
      </c>
      <c r="C137" s="800" t="str">
        <f>IF(AND(OR(Projektgrundlagen!$I$26,Projektgrundlagen!$I$27),'StB-D1 Besondere Lstg'!M93=TRUE),'StB-D1 Besondere Lstg'!H93,"")</f>
        <v/>
      </c>
      <c r="D137" s="800" t="str">
        <f>IF(AND(OR(Projektgrundlagen!$I$26,Projektgrundlagen!$I$27),'StB-D1 Besondere Lstg'!M93=TRUE),'StB-D1 Besondere Lstg'!I93,"")</f>
        <v/>
      </c>
      <c r="E137" s="800" t="str">
        <f>IF(AND(OR(Projektgrundlagen!$I$26,Projektgrundlagen!$I$27),'StB-D1 Besondere Lstg'!M93=TRUE),'StB-D1 Besondere Lstg'!J93,"")</f>
        <v/>
      </c>
      <c r="F137" s="800" t="str">
        <f>IF(AND(OR(Projektgrundlagen!$I$26,Projektgrundlagen!$I$27),'StB-D1 Besondere Lstg'!M93=TRUE),'StB-D1 Besondere Lstg'!K93,"")</f>
        <v/>
      </c>
      <c r="G137" s="808"/>
      <c r="H137" s="809"/>
    </row>
    <row r="138" spans="2:8" ht="16">
      <c r="B138" t="str">
        <f>IF(AND(OR(Projektgrundlagen!$I$26,Projektgrundlagen!$I$27),'StB-D1 Besondere Lstg'!M94=TRUE),'StB-D1 Besondere Lstg'!C94&amp;" "&amp;'StB-D1 Besondere Lstg'!F94&amp;" "&amp;'StB-D1 Besondere Lstg'!F95,"")</f>
        <v/>
      </c>
      <c r="C138" s="800" t="str">
        <f>IF(AND(OR(Projektgrundlagen!$I$26,Projektgrundlagen!$I$27),'StB-D1 Besondere Lstg'!M94=TRUE),'StB-D1 Besondere Lstg'!H94,"")</f>
        <v/>
      </c>
      <c r="D138" s="800" t="str">
        <f>IF(AND(OR(Projektgrundlagen!$I$26,Projektgrundlagen!$I$27),'StB-D1 Besondere Lstg'!M94=TRUE),'StB-D1 Besondere Lstg'!I94,"")</f>
        <v/>
      </c>
      <c r="E138" s="800" t="str">
        <f>IF(AND(OR(Projektgrundlagen!$I$26,Projektgrundlagen!$I$27),'StB-D1 Besondere Lstg'!M94=TRUE),'StB-D1 Besondere Lstg'!J94,"")</f>
        <v/>
      </c>
      <c r="F138" s="800" t="str">
        <f>IF(AND(OR(Projektgrundlagen!$I$26,Projektgrundlagen!$I$27),'StB-D1 Besondere Lstg'!M94=TRUE),'StB-D1 Besondere Lstg'!K94,"")</f>
        <v/>
      </c>
      <c r="G138" s="808"/>
      <c r="H138" s="809"/>
    </row>
    <row r="139" spans="2:8" ht="16">
      <c r="B139" t="str">
        <f>IF(AND(OR(Projektgrundlagen!$I$26,Projektgrundlagen!$I$27),'StB-D1 Besondere Lstg'!M95=TRUE),'StB-D1 Besondere Lstg'!C95&amp;" "&amp;'StB-D1 Besondere Lstg'!F95&amp;" "&amp;'StB-D1 Besondere Lstg'!F96,"")</f>
        <v/>
      </c>
      <c r="C139" s="800" t="str">
        <f>IF(AND(OR(Projektgrundlagen!$I$26,Projektgrundlagen!$I$27),'StB-D1 Besondere Lstg'!M95=TRUE),'StB-D1 Besondere Lstg'!H95,"")</f>
        <v/>
      </c>
      <c r="D139" s="800" t="str">
        <f>IF(AND(OR(Projektgrundlagen!$I$26,Projektgrundlagen!$I$27),'StB-D1 Besondere Lstg'!M95=TRUE),'StB-D1 Besondere Lstg'!I95,"")</f>
        <v/>
      </c>
      <c r="E139" s="800" t="str">
        <f>IF(AND(OR(Projektgrundlagen!$I$26,Projektgrundlagen!$I$27),'StB-D1 Besondere Lstg'!M95=TRUE),'StB-D1 Besondere Lstg'!J95,"")</f>
        <v/>
      </c>
      <c r="F139" s="800" t="str">
        <f>IF(AND(OR(Projektgrundlagen!$I$26,Projektgrundlagen!$I$27),'StB-D1 Besondere Lstg'!M95=TRUE),'StB-D1 Besondere Lstg'!K95,"")</f>
        <v/>
      </c>
      <c r="G139" s="808"/>
      <c r="H139" s="809"/>
    </row>
    <row r="140" spans="2:8" ht="16">
      <c r="B140" t="str">
        <f>IF(AND(OR(Projektgrundlagen!$I$26,Projektgrundlagen!$I$27),'StB-D1 Besondere Lstg'!M96=TRUE),'StB-D1 Besondere Lstg'!C96&amp;" "&amp;'StB-D1 Besondere Lstg'!F96&amp;" "&amp;'StB-D1 Besondere Lstg'!F97,"")</f>
        <v/>
      </c>
      <c r="C140" s="800" t="str">
        <f>IF(AND(OR(Projektgrundlagen!$I$26,Projektgrundlagen!$I$27),'StB-D1 Besondere Lstg'!M96=TRUE),'StB-D1 Besondere Lstg'!H96,"")</f>
        <v/>
      </c>
      <c r="D140" s="800" t="str">
        <f>IF(AND(OR(Projektgrundlagen!$I$26,Projektgrundlagen!$I$27),'StB-D1 Besondere Lstg'!M96=TRUE),'StB-D1 Besondere Lstg'!I96,"")</f>
        <v/>
      </c>
      <c r="E140" s="800" t="str">
        <f>IF(AND(OR(Projektgrundlagen!$I$26,Projektgrundlagen!$I$27),'StB-D1 Besondere Lstg'!M96=TRUE),'StB-D1 Besondere Lstg'!J96,"")</f>
        <v/>
      </c>
      <c r="F140" s="800" t="str">
        <f>IF(AND(OR(Projektgrundlagen!$I$26,Projektgrundlagen!$I$27),'StB-D1 Besondere Lstg'!M96=TRUE),'StB-D1 Besondere Lstg'!K96,"")</f>
        <v/>
      </c>
      <c r="G140" s="808"/>
      <c r="H140" s="809"/>
    </row>
    <row r="141" spans="2:8" ht="16">
      <c r="B141" t="str">
        <f>IF(AND(OR(Projektgrundlagen!$I$26,Projektgrundlagen!$I$27),'StB-D1 Besondere Lstg'!M97=TRUE),'StB-D1 Besondere Lstg'!C97&amp;" "&amp;'StB-D1 Besondere Lstg'!F97&amp;" "&amp;'StB-D1 Besondere Lstg'!F98,"")</f>
        <v/>
      </c>
      <c r="C141" s="800" t="str">
        <f>IF(AND(OR(Projektgrundlagen!$I$26,Projektgrundlagen!$I$27),'StB-D1 Besondere Lstg'!M97=TRUE),'StB-D1 Besondere Lstg'!H97,"")</f>
        <v/>
      </c>
      <c r="D141" s="800" t="str">
        <f>IF(AND(OR(Projektgrundlagen!$I$26,Projektgrundlagen!$I$27),'StB-D1 Besondere Lstg'!M97=TRUE),'StB-D1 Besondere Lstg'!I97,"")</f>
        <v/>
      </c>
      <c r="E141" s="800" t="str">
        <f>IF(AND(OR(Projektgrundlagen!$I$26,Projektgrundlagen!$I$27),'StB-D1 Besondere Lstg'!M97=TRUE),'StB-D1 Besondere Lstg'!J97,"")</f>
        <v/>
      </c>
      <c r="F141" s="800" t="str">
        <f>IF(AND(OR(Projektgrundlagen!$I$26,Projektgrundlagen!$I$27),'StB-D1 Besondere Lstg'!M97=TRUE),'StB-D1 Besondere Lstg'!K97,"")</f>
        <v/>
      </c>
      <c r="G141" s="808"/>
      <c r="H141" s="809"/>
    </row>
    <row r="142" spans="2:8" ht="16">
      <c r="B142" t="str">
        <f>IF(AND(OR(Projektgrundlagen!$I$26,Projektgrundlagen!$I$27),'StB-D1 Besondere Lstg'!M98=TRUE),'StB-D1 Besondere Lstg'!C98&amp;" "&amp;'StB-D1 Besondere Lstg'!F98&amp;" "&amp;'StB-D1 Besondere Lstg'!F99,"")</f>
        <v/>
      </c>
      <c r="C142" s="800" t="str">
        <f>IF(AND(OR(Projektgrundlagen!$I$26,Projektgrundlagen!$I$27),'StB-D1 Besondere Lstg'!M98=TRUE),'StB-D1 Besondere Lstg'!H98,"")</f>
        <v/>
      </c>
      <c r="D142" s="800" t="str">
        <f>IF(AND(OR(Projektgrundlagen!$I$26,Projektgrundlagen!$I$27),'StB-D1 Besondere Lstg'!M98=TRUE),'StB-D1 Besondere Lstg'!I98,"")</f>
        <v/>
      </c>
      <c r="E142" s="800" t="str">
        <f>IF(AND(OR(Projektgrundlagen!$I$26,Projektgrundlagen!$I$27),'StB-D1 Besondere Lstg'!M98=TRUE),'StB-D1 Besondere Lstg'!J98,"")</f>
        <v/>
      </c>
      <c r="F142" s="800" t="str">
        <f>IF(AND(OR(Projektgrundlagen!$I$26,Projektgrundlagen!$I$27),'StB-D1 Besondere Lstg'!M98=TRUE),'StB-D1 Besondere Lstg'!K98,"")</f>
        <v/>
      </c>
      <c r="G142" s="808"/>
      <c r="H142" s="809"/>
    </row>
    <row r="143" spans="2:8" ht="16">
      <c r="B143" t="str">
        <f>IF(AND(OR(Projektgrundlagen!$I$26,Projektgrundlagen!$I$27),'StB-D1 Besondere Lstg'!M99=TRUE),'StB-D1 Besondere Lstg'!C99&amp;" "&amp;'StB-D1 Besondere Lstg'!F99&amp;" "&amp;'StB-D1 Besondere Lstg'!F100,"")</f>
        <v/>
      </c>
      <c r="C143" s="800" t="str">
        <f>IF(AND(OR(Projektgrundlagen!$I$26,Projektgrundlagen!$I$27),'StB-D1 Besondere Lstg'!M99=TRUE),'StB-D1 Besondere Lstg'!H99,"")</f>
        <v/>
      </c>
      <c r="D143" s="800" t="str">
        <f>IF(AND(OR(Projektgrundlagen!$I$26,Projektgrundlagen!$I$27),'StB-D1 Besondere Lstg'!M99=TRUE),'StB-D1 Besondere Lstg'!I99,"")</f>
        <v/>
      </c>
      <c r="E143" s="800" t="str">
        <f>IF(AND(OR(Projektgrundlagen!$I$26,Projektgrundlagen!$I$27),'StB-D1 Besondere Lstg'!M99=TRUE),'StB-D1 Besondere Lstg'!J99,"")</f>
        <v/>
      </c>
      <c r="F143" s="800" t="str">
        <f>IF(AND(OR(Projektgrundlagen!$I$26,Projektgrundlagen!$I$27),'StB-D1 Besondere Lstg'!M99=TRUE),'StB-D1 Besondere Lstg'!K99,"")</f>
        <v/>
      </c>
      <c r="G143" s="808"/>
      <c r="H143" s="809"/>
    </row>
    <row r="144" spans="2:8" ht="16">
      <c r="B144" t="str">
        <f>IF(AND(OR(Projektgrundlagen!$I$26,Projektgrundlagen!$I$27),'StB-D1 Besondere Lstg'!M100=TRUE),'StB-D1 Besondere Lstg'!C100&amp;" "&amp;'StB-D1 Besondere Lstg'!F100&amp;" "&amp;'StB-D1 Besondere Lstg'!F101,"")</f>
        <v/>
      </c>
      <c r="C144" s="800" t="str">
        <f>IF(AND(OR(Projektgrundlagen!$I$26,Projektgrundlagen!$I$27),'StB-D1 Besondere Lstg'!M100=TRUE),'StB-D1 Besondere Lstg'!H100,"")</f>
        <v/>
      </c>
      <c r="D144" s="800" t="str">
        <f>IF(AND(OR(Projektgrundlagen!$I$26,Projektgrundlagen!$I$27),'StB-D1 Besondere Lstg'!M100=TRUE),'StB-D1 Besondere Lstg'!I100,"")</f>
        <v/>
      </c>
      <c r="E144" s="800" t="str">
        <f>IF(AND(OR(Projektgrundlagen!$I$26,Projektgrundlagen!$I$27),'StB-D1 Besondere Lstg'!M100=TRUE),'StB-D1 Besondere Lstg'!J100,"")</f>
        <v/>
      </c>
      <c r="F144" s="800" t="str">
        <f>IF(AND(OR(Projektgrundlagen!$I$26,Projektgrundlagen!$I$27),'StB-D1 Besondere Lstg'!M100=TRUE),'StB-D1 Besondere Lstg'!K100,"")</f>
        <v/>
      </c>
      <c r="G144" s="808"/>
      <c r="H144" s="809"/>
    </row>
    <row r="145" spans="2:8" ht="16">
      <c r="B145" t="str">
        <f>IF(AND(OR(Projektgrundlagen!$I$26,Projektgrundlagen!$I$27),'StB-D1 Besondere Lstg'!M101=TRUE),'StB-D1 Besondere Lstg'!C101&amp;" "&amp;'StB-D1 Besondere Lstg'!F101&amp;" "&amp;'StB-D1 Besondere Lstg'!F102,"")</f>
        <v/>
      </c>
      <c r="C145" s="800" t="str">
        <f>IF(AND(OR(Projektgrundlagen!$I$26,Projektgrundlagen!$I$27),'StB-D1 Besondere Lstg'!M101=TRUE),'StB-D1 Besondere Lstg'!H101,"")</f>
        <v/>
      </c>
      <c r="D145" s="800" t="str">
        <f>IF(AND(OR(Projektgrundlagen!$I$26,Projektgrundlagen!$I$27),'StB-D1 Besondere Lstg'!M101=TRUE),'StB-D1 Besondere Lstg'!I101,"")</f>
        <v/>
      </c>
      <c r="E145" s="800" t="str">
        <f>IF(AND(OR(Projektgrundlagen!$I$26,Projektgrundlagen!$I$27),'StB-D1 Besondere Lstg'!M101=TRUE),'StB-D1 Besondere Lstg'!J101,"")</f>
        <v/>
      </c>
      <c r="F145" s="800" t="str">
        <f>IF(AND(OR(Projektgrundlagen!$I$26,Projektgrundlagen!$I$27),'StB-D1 Besondere Lstg'!M101=TRUE),'StB-D1 Besondere Lstg'!K101,"")</f>
        <v/>
      </c>
      <c r="G145" s="808"/>
      <c r="H145" s="809"/>
    </row>
    <row r="146" spans="2:8" ht="16">
      <c r="B146" t="str">
        <f>IF(AND(OR(Projektgrundlagen!$I$26,Projektgrundlagen!$I$27),'StB-D1 Besondere Lstg'!M102=TRUE),'StB-D1 Besondere Lstg'!C102&amp;" "&amp;'StB-D1 Besondere Lstg'!F102&amp;" "&amp;'StB-D1 Besondere Lstg'!F103,"")</f>
        <v/>
      </c>
      <c r="C146" s="800" t="str">
        <f>IF(AND(OR(Projektgrundlagen!$I$26,Projektgrundlagen!$I$27),'StB-D1 Besondere Lstg'!M102=TRUE),'StB-D1 Besondere Lstg'!H102,"")</f>
        <v/>
      </c>
      <c r="D146" s="800" t="str">
        <f>IF(AND(OR(Projektgrundlagen!$I$26,Projektgrundlagen!$I$27),'StB-D1 Besondere Lstg'!M102=TRUE),'StB-D1 Besondere Lstg'!I102,"")</f>
        <v/>
      </c>
      <c r="E146" s="800" t="str">
        <f>IF(AND(OR(Projektgrundlagen!$I$26,Projektgrundlagen!$I$27),'StB-D1 Besondere Lstg'!M102=TRUE),'StB-D1 Besondere Lstg'!J102,"")</f>
        <v/>
      </c>
      <c r="F146" s="800" t="str">
        <f>IF(AND(OR(Projektgrundlagen!$I$26,Projektgrundlagen!$I$27),'StB-D1 Besondere Lstg'!M102=TRUE),'StB-D1 Besondere Lstg'!K102,"")</f>
        <v/>
      </c>
      <c r="G146" s="808"/>
      <c r="H146" s="809"/>
    </row>
    <row r="147" spans="2:8" ht="16">
      <c r="B147" t="str">
        <f>IF(AND(OR(Projektgrundlagen!$I$26,Projektgrundlagen!$I$27),'StB-D1 Besondere Lstg'!M103=TRUE),'StB-D1 Besondere Lstg'!C103&amp;" "&amp;'StB-D1 Besondere Lstg'!F103&amp;" "&amp;'StB-D1 Besondere Lstg'!F104,"")</f>
        <v/>
      </c>
      <c r="C147" s="800" t="str">
        <f>IF(AND(OR(Projektgrundlagen!$I$26,Projektgrundlagen!$I$27),'StB-D1 Besondere Lstg'!M103=TRUE),'StB-D1 Besondere Lstg'!H103,"")</f>
        <v/>
      </c>
      <c r="D147" s="800" t="str">
        <f>IF(AND(OR(Projektgrundlagen!$I$26,Projektgrundlagen!$I$27),'StB-D1 Besondere Lstg'!M103=TRUE),'StB-D1 Besondere Lstg'!I103,"")</f>
        <v/>
      </c>
      <c r="E147" s="800" t="str">
        <f>IF(AND(OR(Projektgrundlagen!$I$26,Projektgrundlagen!$I$27),'StB-D1 Besondere Lstg'!M103=TRUE),'StB-D1 Besondere Lstg'!J103,"")</f>
        <v/>
      </c>
      <c r="F147" s="800" t="str">
        <f>IF(AND(OR(Projektgrundlagen!$I$26,Projektgrundlagen!$I$27),'StB-D1 Besondere Lstg'!M103=TRUE),'StB-D1 Besondere Lstg'!K103,"")</f>
        <v/>
      </c>
      <c r="G147" s="808"/>
      <c r="H147" s="809"/>
    </row>
    <row r="148" spans="2:8" ht="16">
      <c r="B148" t="str">
        <f>IF(AND(OR(Projektgrundlagen!$I$26,Projektgrundlagen!$I$27),'StB-D1 Besondere Lstg'!M104=TRUE),'StB-D1 Besondere Lstg'!C104&amp;" "&amp;'StB-D1 Besondere Lstg'!F104&amp;" "&amp;'StB-D1 Besondere Lstg'!F105,"")</f>
        <v/>
      </c>
      <c r="C148" s="800" t="str">
        <f>IF(AND(OR(Projektgrundlagen!$I$26,Projektgrundlagen!$I$27),'StB-D1 Besondere Lstg'!M104=TRUE),'StB-D1 Besondere Lstg'!H104,"")</f>
        <v/>
      </c>
      <c r="D148" s="800" t="str">
        <f>IF(AND(OR(Projektgrundlagen!$I$26,Projektgrundlagen!$I$27),'StB-D1 Besondere Lstg'!M104=TRUE),'StB-D1 Besondere Lstg'!I104,"")</f>
        <v/>
      </c>
      <c r="E148" s="800" t="str">
        <f>IF(AND(OR(Projektgrundlagen!$I$26,Projektgrundlagen!$I$27),'StB-D1 Besondere Lstg'!M104=TRUE),'StB-D1 Besondere Lstg'!J104,"")</f>
        <v/>
      </c>
      <c r="F148" s="800" t="str">
        <f>IF(AND(OR(Projektgrundlagen!$I$26,Projektgrundlagen!$I$27),'StB-D1 Besondere Lstg'!M104=TRUE),'StB-D1 Besondere Lstg'!K104,"")</f>
        <v/>
      </c>
      <c r="G148" s="808"/>
      <c r="H148" s="809"/>
    </row>
    <row r="149" spans="2:8" ht="16">
      <c r="B149" t="str">
        <f>IF(AND(OR(Projektgrundlagen!$I$26,Projektgrundlagen!$I$27),'StB-D1 Besondere Lstg'!M105=TRUE),'StB-D1 Besondere Lstg'!C105&amp;" "&amp;'StB-D1 Besondere Lstg'!F105&amp;" "&amp;'StB-D1 Besondere Lstg'!F106,"")</f>
        <v/>
      </c>
      <c r="C149" s="800" t="str">
        <f>IF(AND(OR(Projektgrundlagen!$I$26,Projektgrundlagen!$I$27),'StB-D1 Besondere Lstg'!M105=TRUE),'StB-D1 Besondere Lstg'!H105,"")</f>
        <v/>
      </c>
      <c r="D149" s="800" t="str">
        <f>IF(AND(OR(Projektgrundlagen!$I$26,Projektgrundlagen!$I$27),'StB-D1 Besondere Lstg'!M105=TRUE),'StB-D1 Besondere Lstg'!I105,"")</f>
        <v/>
      </c>
      <c r="E149" s="800" t="str">
        <f>IF(AND(OR(Projektgrundlagen!$I$26,Projektgrundlagen!$I$27),'StB-D1 Besondere Lstg'!M105=TRUE),'StB-D1 Besondere Lstg'!J105,"")</f>
        <v/>
      </c>
      <c r="F149" s="800" t="str">
        <f>IF(AND(OR(Projektgrundlagen!$I$26,Projektgrundlagen!$I$27),'StB-D1 Besondere Lstg'!M105=TRUE),'StB-D1 Besondere Lstg'!K105,"")</f>
        <v/>
      </c>
      <c r="G149" s="808"/>
      <c r="H149" s="809"/>
    </row>
    <row r="150" spans="2:8" ht="16">
      <c r="B150" t="str">
        <f>IF(AND(OR(Projektgrundlagen!$I$26,Projektgrundlagen!$I$27),'StB-D1 Besondere Lstg'!M106=TRUE),'StB-D1 Besondere Lstg'!C106&amp;" "&amp;'StB-D1 Besondere Lstg'!F106&amp;" "&amp;'StB-D1 Besondere Lstg'!F107,"")</f>
        <v/>
      </c>
      <c r="C150" s="800" t="str">
        <f>IF(AND(OR(Projektgrundlagen!$I$26,Projektgrundlagen!$I$27),'StB-D1 Besondere Lstg'!M106=TRUE),'StB-D1 Besondere Lstg'!H106,"")</f>
        <v/>
      </c>
      <c r="D150" s="800" t="str">
        <f>IF(AND(OR(Projektgrundlagen!$I$26,Projektgrundlagen!$I$27),'StB-D1 Besondere Lstg'!M106=TRUE),'StB-D1 Besondere Lstg'!I106,"")</f>
        <v/>
      </c>
      <c r="E150" s="800" t="str">
        <f>IF(AND(OR(Projektgrundlagen!$I$26,Projektgrundlagen!$I$27),'StB-D1 Besondere Lstg'!M106=TRUE),'StB-D1 Besondere Lstg'!J106,"")</f>
        <v/>
      </c>
      <c r="F150" s="800" t="str">
        <f>IF(AND(OR(Projektgrundlagen!$I$26,Projektgrundlagen!$I$27),'StB-D1 Besondere Lstg'!M106=TRUE),'StB-D1 Besondere Lstg'!K106,"")</f>
        <v/>
      </c>
      <c r="G150" s="808"/>
      <c r="H150" s="809"/>
    </row>
    <row r="151" spans="2:8" ht="16">
      <c r="B151" t="str">
        <f>IF(AND(OR(Projektgrundlagen!$I$26,Projektgrundlagen!$I$27),'StB-D1 Besondere Lstg'!M107=TRUE),'StB-D1 Besondere Lstg'!C107&amp;" "&amp;'StB-D1 Besondere Lstg'!F107&amp;" "&amp;'StB-D1 Besondere Lstg'!F108,"")</f>
        <v/>
      </c>
      <c r="C151" s="800" t="str">
        <f>IF(AND(OR(Projektgrundlagen!$I$26,Projektgrundlagen!$I$27),'StB-D1 Besondere Lstg'!M107=TRUE),'StB-D1 Besondere Lstg'!H107,"")</f>
        <v/>
      </c>
      <c r="D151" s="800" t="str">
        <f>IF(AND(OR(Projektgrundlagen!$I$26,Projektgrundlagen!$I$27),'StB-D1 Besondere Lstg'!M107=TRUE),'StB-D1 Besondere Lstg'!I107,"")</f>
        <v/>
      </c>
      <c r="E151" s="800" t="str">
        <f>IF(AND(OR(Projektgrundlagen!$I$26,Projektgrundlagen!$I$27),'StB-D1 Besondere Lstg'!M107=TRUE),'StB-D1 Besondere Lstg'!J107,"")</f>
        <v/>
      </c>
      <c r="F151" s="800" t="str">
        <f>IF(AND(OR(Projektgrundlagen!$I$26,Projektgrundlagen!$I$27),'StB-D1 Besondere Lstg'!M107=TRUE),'StB-D1 Besondere Lstg'!K107,"")</f>
        <v/>
      </c>
      <c r="G151" s="808"/>
      <c r="H151" s="809"/>
    </row>
    <row r="152" spans="2:8" ht="16">
      <c r="B152" t="str">
        <f>IF(AND(OR(Projektgrundlagen!$I$26,Projektgrundlagen!$I$27),'StB-D1 Besondere Lstg'!M108=TRUE),'StB-D1 Besondere Lstg'!C108&amp;" "&amp;'StB-D1 Besondere Lstg'!F108&amp;" "&amp;'StB-D1 Besondere Lstg'!F109,"")</f>
        <v/>
      </c>
      <c r="C152" s="800" t="str">
        <f>IF(AND(OR(Projektgrundlagen!$I$26,Projektgrundlagen!$I$27),'StB-D1 Besondere Lstg'!M108=TRUE),'StB-D1 Besondere Lstg'!H108,"")</f>
        <v/>
      </c>
      <c r="D152" s="800" t="str">
        <f>IF(AND(OR(Projektgrundlagen!$I$26,Projektgrundlagen!$I$27),'StB-D1 Besondere Lstg'!M108=TRUE),'StB-D1 Besondere Lstg'!I108,"")</f>
        <v/>
      </c>
      <c r="E152" s="800" t="str">
        <f>IF(AND(OR(Projektgrundlagen!$I$26,Projektgrundlagen!$I$27),'StB-D1 Besondere Lstg'!M108=TRUE),'StB-D1 Besondere Lstg'!J108,"")</f>
        <v/>
      </c>
      <c r="F152" s="800" t="str">
        <f>IF(AND(OR(Projektgrundlagen!$I$26,Projektgrundlagen!$I$27),'StB-D1 Besondere Lstg'!M108=TRUE),'StB-D1 Besondere Lstg'!K108,"")</f>
        <v/>
      </c>
      <c r="G152" s="808"/>
      <c r="H152" s="809"/>
    </row>
    <row r="153" spans="2:8" ht="16">
      <c r="B153" t="str">
        <f>IF(AND(OR(Projektgrundlagen!$I$26,Projektgrundlagen!$I$27),'StB-D1 Besondere Lstg'!M109=TRUE),'StB-D1 Besondere Lstg'!C109&amp;" "&amp;'StB-D1 Besondere Lstg'!F109&amp;" "&amp;'StB-D1 Besondere Lstg'!F110,"")</f>
        <v/>
      </c>
      <c r="C153" s="800" t="str">
        <f>IF(AND(OR(Projektgrundlagen!$I$26,Projektgrundlagen!$I$27),'StB-D1 Besondere Lstg'!M109=TRUE),'StB-D1 Besondere Lstg'!H109,"")</f>
        <v/>
      </c>
      <c r="D153" s="800" t="str">
        <f>IF(AND(OR(Projektgrundlagen!$I$26,Projektgrundlagen!$I$27),'StB-D1 Besondere Lstg'!M109=TRUE),'StB-D1 Besondere Lstg'!I109,"")</f>
        <v/>
      </c>
      <c r="E153" s="800" t="str">
        <f>IF(AND(OR(Projektgrundlagen!$I$26,Projektgrundlagen!$I$27),'StB-D1 Besondere Lstg'!M109=TRUE),'StB-D1 Besondere Lstg'!J109,"")</f>
        <v/>
      </c>
      <c r="F153" s="800" t="str">
        <f>IF(AND(OR(Projektgrundlagen!$I$26,Projektgrundlagen!$I$27),'StB-D1 Besondere Lstg'!M109=TRUE),'StB-D1 Besondere Lstg'!K109,"")</f>
        <v/>
      </c>
      <c r="G153" s="808"/>
      <c r="H153" s="809"/>
    </row>
    <row r="154" spans="2:8" ht="16">
      <c r="B154" t="str">
        <f>IF(AND(OR(Projektgrundlagen!$I$26,Projektgrundlagen!$I$27),'StB-D1 Besondere Lstg'!M110=TRUE),'StB-D1 Besondere Lstg'!C110&amp;" "&amp;'StB-D1 Besondere Lstg'!F110&amp;" "&amp;'StB-D1 Besondere Lstg'!F111,"")</f>
        <v/>
      </c>
      <c r="C154" s="800" t="str">
        <f>IF(AND(OR(Projektgrundlagen!$I$26,Projektgrundlagen!$I$27),'StB-D1 Besondere Lstg'!M110=TRUE),'StB-D1 Besondere Lstg'!H110,"")</f>
        <v/>
      </c>
      <c r="D154" s="800" t="str">
        <f>IF(AND(OR(Projektgrundlagen!$I$26,Projektgrundlagen!$I$27),'StB-D1 Besondere Lstg'!M110=TRUE),'StB-D1 Besondere Lstg'!I110,"")</f>
        <v/>
      </c>
      <c r="E154" s="800" t="str">
        <f>IF(AND(OR(Projektgrundlagen!$I$26,Projektgrundlagen!$I$27),'StB-D1 Besondere Lstg'!M110=TRUE),'StB-D1 Besondere Lstg'!J110,"")</f>
        <v/>
      </c>
      <c r="F154" s="800" t="str">
        <f>IF(AND(OR(Projektgrundlagen!$I$26,Projektgrundlagen!$I$27),'StB-D1 Besondere Lstg'!M110=TRUE),'StB-D1 Besondere Lstg'!K110,"")</f>
        <v/>
      </c>
      <c r="G154" s="808"/>
      <c r="H154" s="809"/>
    </row>
    <row r="155" spans="2:8" ht="16">
      <c r="B155" t="str">
        <f>IF(AND(OR(Projektgrundlagen!$I$26,Projektgrundlagen!$I$27),'StB-D1 Besondere Lstg'!M111=TRUE),'StB-D1 Besondere Lstg'!C111&amp;" "&amp;'StB-D1 Besondere Lstg'!F111&amp;" "&amp;'StB-D1 Besondere Lstg'!F112,"")</f>
        <v/>
      </c>
      <c r="C155" s="800" t="str">
        <f>IF(AND(OR(Projektgrundlagen!$I$26,Projektgrundlagen!$I$27),'StB-D1 Besondere Lstg'!M111=TRUE),'StB-D1 Besondere Lstg'!H111,"")</f>
        <v/>
      </c>
      <c r="D155" s="800" t="str">
        <f>IF(AND(OR(Projektgrundlagen!$I$26,Projektgrundlagen!$I$27),'StB-D1 Besondere Lstg'!M111=TRUE),'StB-D1 Besondere Lstg'!I111,"")</f>
        <v/>
      </c>
      <c r="E155" s="800" t="str">
        <f>IF(AND(OR(Projektgrundlagen!$I$26,Projektgrundlagen!$I$27),'StB-D1 Besondere Lstg'!M111=TRUE),'StB-D1 Besondere Lstg'!J111,"")</f>
        <v/>
      </c>
      <c r="F155" s="800" t="str">
        <f>IF(AND(OR(Projektgrundlagen!$I$26,Projektgrundlagen!$I$27),'StB-D1 Besondere Lstg'!M111=TRUE),'StB-D1 Besondere Lstg'!K111,"")</f>
        <v/>
      </c>
      <c r="G155" s="808"/>
      <c r="H155" s="809"/>
    </row>
    <row r="156" spans="2:8" ht="16">
      <c r="B156" t="str">
        <f>IF(AND(OR(Projektgrundlagen!$I$26,Projektgrundlagen!$I$27),'StB-D1 Besondere Lstg'!M112=TRUE),'StB-D1 Besondere Lstg'!C112&amp;" "&amp;'StB-D1 Besondere Lstg'!F112&amp;" "&amp;'StB-D1 Besondere Lstg'!F113,"")</f>
        <v/>
      </c>
      <c r="C156" s="800" t="str">
        <f>IF(AND(OR(Projektgrundlagen!$I$26,Projektgrundlagen!$I$27),'StB-D1 Besondere Lstg'!M112=TRUE),'StB-D1 Besondere Lstg'!H112,"")</f>
        <v/>
      </c>
      <c r="D156" s="800" t="str">
        <f>IF(AND(OR(Projektgrundlagen!$I$26,Projektgrundlagen!$I$27),'StB-D1 Besondere Lstg'!M112=TRUE),'StB-D1 Besondere Lstg'!I112,"")</f>
        <v/>
      </c>
      <c r="E156" s="800" t="str">
        <f>IF(AND(OR(Projektgrundlagen!$I$26,Projektgrundlagen!$I$27),'StB-D1 Besondere Lstg'!M112=TRUE),'StB-D1 Besondere Lstg'!J112,"")</f>
        <v/>
      </c>
      <c r="F156" s="800" t="str">
        <f>IF(AND(OR(Projektgrundlagen!$I$26,Projektgrundlagen!$I$27),'StB-D1 Besondere Lstg'!M112=TRUE),'StB-D1 Besondere Lstg'!K112,"")</f>
        <v/>
      </c>
      <c r="G156" s="808"/>
      <c r="H156" s="809"/>
    </row>
    <row r="157" spans="2:8" ht="16">
      <c r="B157" t="str">
        <f>IF(AND(OR(Projektgrundlagen!$I$26,Projektgrundlagen!$I$27),'StB-D1 Besondere Lstg'!M113=TRUE),'StB-D1 Besondere Lstg'!C113&amp;" "&amp;'StB-D1 Besondere Lstg'!F113&amp;" "&amp;'StB-D1 Besondere Lstg'!F114,"")</f>
        <v/>
      </c>
      <c r="C157" s="800" t="str">
        <f>IF(AND(OR(Projektgrundlagen!$I$26,Projektgrundlagen!$I$27),'StB-D1 Besondere Lstg'!M113=TRUE),'StB-D1 Besondere Lstg'!H113,"")</f>
        <v/>
      </c>
      <c r="D157" s="800" t="str">
        <f>IF(AND(OR(Projektgrundlagen!$I$26,Projektgrundlagen!$I$27),'StB-D1 Besondere Lstg'!M113=TRUE),'StB-D1 Besondere Lstg'!I113,"")</f>
        <v/>
      </c>
      <c r="E157" s="800" t="str">
        <f>IF(AND(OR(Projektgrundlagen!$I$26,Projektgrundlagen!$I$27),'StB-D1 Besondere Lstg'!M113=TRUE),'StB-D1 Besondere Lstg'!J113,"")</f>
        <v/>
      </c>
      <c r="F157" s="800" t="str">
        <f>IF(AND(OR(Projektgrundlagen!$I$26,Projektgrundlagen!$I$27),'StB-D1 Besondere Lstg'!M113=TRUE),'StB-D1 Besondere Lstg'!K113,"")</f>
        <v/>
      </c>
      <c r="G157" s="808"/>
      <c r="H157" s="809"/>
    </row>
    <row r="158" spans="2:8" ht="16">
      <c r="B158" t="str">
        <f>IF(AND(OR(Projektgrundlagen!$I$26,Projektgrundlagen!$I$27),'StB-D1 Besondere Lstg'!M114=TRUE),'StB-D1 Besondere Lstg'!C114&amp;" "&amp;'StB-D1 Besondere Lstg'!F114&amp;" "&amp;'StB-D1 Besondere Lstg'!F115,"")</f>
        <v/>
      </c>
      <c r="C158" s="800" t="str">
        <f>IF(AND(OR(Projektgrundlagen!$I$26,Projektgrundlagen!$I$27),'StB-D1 Besondere Lstg'!M114=TRUE),'StB-D1 Besondere Lstg'!H114,"")</f>
        <v/>
      </c>
      <c r="D158" s="800" t="str">
        <f>IF(AND(OR(Projektgrundlagen!$I$26,Projektgrundlagen!$I$27),'StB-D1 Besondere Lstg'!M114=TRUE),'StB-D1 Besondere Lstg'!I114,"")</f>
        <v/>
      </c>
      <c r="E158" s="800" t="str">
        <f>IF(AND(OR(Projektgrundlagen!$I$26,Projektgrundlagen!$I$27),'StB-D1 Besondere Lstg'!M114=TRUE),'StB-D1 Besondere Lstg'!J114,"")</f>
        <v/>
      </c>
      <c r="F158" s="800" t="str">
        <f>IF(AND(OR(Projektgrundlagen!$I$26,Projektgrundlagen!$I$27),'StB-D1 Besondere Lstg'!M114=TRUE),'StB-D1 Besondere Lstg'!K114,"")</f>
        <v/>
      </c>
      <c r="G158" s="808"/>
      <c r="H158" s="809"/>
    </row>
    <row r="159" spans="2:8" ht="16">
      <c r="B159" t="str">
        <f>IF(AND(OR(Projektgrundlagen!$I$26,Projektgrundlagen!$I$27),'StB-D1 Besondere Lstg'!M115=TRUE),'StB-D1 Besondere Lstg'!C115&amp;" "&amp;'StB-D1 Besondere Lstg'!F115&amp;" "&amp;'StB-D1 Besondere Lstg'!F116,"")</f>
        <v/>
      </c>
      <c r="C159" s="800" t="str">
        <f>IF(AND(OR(Projektgrundlagen!$I$26,Projektgrundlagen!$I$27),'StB-D1 Besondere Lstg'!M115=TRUE),'StB-D1 Besondere Lstg'!H115,"")</f>
        <v/>
      </c>
      <c r="D159" s="800" t="str">
        <f>IF(AND(OR(Projektgrundlagen!$I$26,Projektgrundlagen!$I$27),'StB-D1 Besondere Lstg'!M115=TRUE),'StB-D1 Besondere Lstg'!I115,"")</f>
        <v/>
      </c>
      <c r="E159" s="800" t="str">
        <f>IF(AND(OR(Projektgrundlagen!$I$26,Projektgrundlagen!$I$27),'StB-D1 Besondere Lstg'!M115=TRUE),'StB-D1 Besondere Lstg'!J115,"")</f>
        <v/>
      </c>
      <c r="F159" s="800" t="str">
        <f>IF(AND(OR(Projektgrundlagen!$I$26,Projektgrundlagen!$I$27),'StB-D1 Besondere Lstg'!M115=TRUE),'StB-D1 Besondere Lstg'!K115,"")</f>
        <v/>
      </c>
      <c r="G159" s="808"/>
      <c r="H159" s="809"/>
    </row>
    <row r="160" spans="2:8" ht="16">
      <c r="B160" t="str">
        <f>IF(AND(OR(Projektgrundlagen!$I$26,Projektgrundlagen!$I$27),'StB-D1 Besondere Lstg'!M116=TRUE),'StB-D1 Besondere Lstg'!C116&amp;" "&amp;'StB-D1 Besondere Lstg'!F116&amp;" "&amp;'StB-D1 Besondere Lstg'!F117,"")</f>
        <v/>
      </c>
      <c r="C160" s="800" t="str">
        <f>IF(AND(OR(Projektgrundlagen!$I$26,Projektgrundlagen!$I$27),'StB-D1 Besondere Lstg'!M116=TRUE),'StB-D1 Besondere Lstg'!H116,"")</f>
        <v/>
      </c>
      <c r="D160" s="800" t="str">
        <f>IF(AND(OR(Projektgrundlagen!$I$26,Projektgrundlagen!$I$27),'StB-D1 Besondere Lstg'!M116=TRUE),'StB-D1 Besondere Lstg'!I116,"")</f>
        <v/>
      </c>
      <c r="E160" s="800" t="str">
        <f>IF(AND(OR(Projektgrundlagen!$I$26,Projektgrundlagen!$I$27),'StB-D1 Besondere Lstg'!M116=TRUE),'StB-D1 Besondere Lstg'!J116,"")</f>
        <v/>
      </c>
      <c r="F160" s="800" t="str">
        <f>IF(AND(OR(Projektgrundlagen!$I$26,Projektgrundlagen!$I$27),'StB-D1 Besondere Lstg'!M116=TRUE),'StB-D1 Besondere Lstg'!K116,"")</f>
        <v/>
      </c>
      <c r="G160" s="808"/>
      <c r="H160" s="809"/>
    </row>
    <row r="161" spans="2:8" ht="16">
      <c r="B161" t="str">
        <f>IF(AND(OR(Projektgrundlagen!$I$26,Projektgrundlagen!$I$27),'StB-D1 Besondere Lstg'!M117=TRUE),'StB-D1 Besondere Lstg'!C117&amp;" "&amp;'StB-D1 Besondere Lstg'!F117&amp;" "&amp;'StB-D1 Besondere Lstg'!F118,"")</f>
        <v/>
      </c>
      <c r="C161" s="800" t="str">
        <f>IF(AND(OR(Projektgrundlagen!$I$26,Projektgrundlagen!$I$27),'StB-D1 Besondere Lstg'!M117=TRUE),'StB-D1 Besondere Lstg'!H117,"")</f>
        <v/>
      </c>
      <c r="D161" s="800" t="str">
        <f>IF(AND(OR(Projektgrundlagen!$I$26,Projektgrundlagen!$I$27),'StB-D1 Besondere Lstg'!M117=TRUE),'StB-D1 Besondere Lstg'!I117,"")</f>
        <v/>
      </c>
      <c r="E161" s="800" t="str">
        <f>IF(AND(OR(Projektgrundlagen!$I$26,Projektgrundlagen!$I$27),'StB-D1 Besondere Lstg'!M117=TRUE),'StB-D1 Besondere Lstg'!J117,"")</f>
        <v/>
      </c>
      <c r="F161" s="800" t="str">
        <f>IF(AND(OR(Projektgrundlagen!$I$26,Projektgrundlagen!$I$27),'StB-D1 Besondere Lstg'!M117=TRUE),'StB-D1 Besondere Lstg'!K117,"")</f>
        <v/>
      </c>
      <c r="G161" s="808"/>
      <c r="H161" s="809"/>
    </row>
    <row r="162" spans="2:8" ht="16">
      <c r="B162" t="str">
        <f>IF(AND(OR(Projektgrundlagen!$I$26,Projektgrundlagen!$I$27),'StB-D1 Besondere Lstg'!M118=TRUE),'StB-D1 Besondere Lstg'!C118&amp;" "&amp;'StB-D1 Besondere Lstg'!F118&amp;" "&amp;'StB-D1 Besondere Lstg'!F119,"")</f>
        <v/>
      </c>
      <c r="C162" s="800" t="str">
        <f>IF(AND(OR(Projektgrundlagen!$I$26,Projektgrundlagen!$I$27),'StB-D1 Besondere Lstg'!M118=TRUE),'StB-D1 Besondere Lstg'!H118,"")</f>
        <v/>
      </c>
      <c r="D162" s="800" t="str">
        <f>IF(AND(OR(Projektgrundlagen!$I$26,Projektgrundlagen!$I$27),'StB-D1 Besondere Lstg'!M118=TRUE),'StB-D1 Besondere Lstg'!I118,"")</f>
        <v/>
      </c>
      <c r="E162" s="800" t="str">
        <f>IF(AND(OR(Projektgrundlagen!$I$26,Projektgrundlagen!$I$27),'StB-D1 Besondere Lstg'!M118=TRUE),'StB-D1 Besondere Lstg'!J118,"")</f>
        <v/>
      </c>
      <c r="F162" s="800" t="str">
        <f>IF(AND(OR(Projektgrundlagen!$I$26,Projektgrundlagen!$I$27),'StB-D1 Besondere Lstg'!M118=TRUE),'StB-D1 Besondere Lstg'!K118,"")</f>
        <v/>
      </c>
      <c r="G162" s="808"/>
      <c r="H162" s="809"/>
    </row>
    <row r="163" spans="2:8" ht="16">
      <c r="B163" t="str">
        <f>IF(AND(OR(Projektgrundlagen!$I$26,Projektgrundlagen!$I$27),'StB-D1 Besondere Lstg'!M119=TRUE),'StB-D1 Besondere Lstg'!C119&amp;" "&amp;'StB-D1 Besondere Lstg'!F119&amp;" "&amp;'StB-D1 Besondere Lstg'!F120,"")</f>
        <v/>
      </c>
      <c r="C163" s="800" t="str">
        <f>IF(AND(OR(Projektgrundlagen!$I$26,Projektgrundlagen!$I$27),'StB-D1 Besondere Lstg'!M119=TRUE),'StB-D1 Besondere Lstg'!H119,"")</f>
        <v/>
      </c>
      <c r="D163" s="800" t="str">
        <f>IF(AND(OR(Projektgrundlagen!$I$26,Projektgrundlagen!$I$27),'StB-D1 Besondere Lstg'!M119=TRUE),'StB-D1 Besondere Lstg'!I119,"")</f>
        <v/>
      </c>
      <c r="E163" s="800" t="str">
        <f>IF(AND(OR(Projektgrundlagen!$I$26,Projektgrundlagen!$I$27),'StB-D1 Besondere Lstg'!M119=TRUE),'StB-D1 Besondere Lstg'!J119,"")</f>
        <v/>
      </c>
      <c r="F163" s="800" t="str">
        <f>IF(AND(OR(Projektgrundlagen!$I$26,Projektgrundlagen!$I$27),'StB-D1 Besondere Lstg'!M119=TRUE),'StB-D1 Besondere Lstg'!K119,"")</f>
        <v/>
      </c>
      <c r="G163" s="808"/>
      <c r="H163" s="809"/>
    </row>
    <row r="164" spans="2:8" ht="16">
      <c r="B164" t="str">
        <f>IF(AND(OR(Projektgrundlagen!$I$26,Projektgrundlagen!$I$27),'StB-D1 Besondere Lstg'!M120=TRUE),'StB-D1 Besondere Lstg'!C120&amp;" "&amp;'StB-D1 Besondere Lstg'!F120&amp;" "&amp;'StB-D1 Besondere Lstg'!F121,"")</f>
        <v/>
      </c>
      <c r="C164" s="800" t="str">
        <f>IF(AND(OR(Projektgrundlagen!$I$26,Projektgrundlagen!$I$27),'StB-D1 Besondere Lstg'!M120=TRUE),'StB-D1 Besondere Lstg'!H120,"")</f>
        <v/>
      </c>
      <c r="D164" s="800" t="str">
        <f>IF(AND(OR(Projektgrundlagen!$I$26,Projektgrundlagen!$I$27),'StB-D1 Besondere Lstg'!M120=TRUE),'StB-D1 Besondere Lstg'!I120,"")</f>
        <v/>
      </c>
      <c r="E164" s="800" t="str">
        <f>IF(AND(OR(Projektgrundlagen!$I$26,Projektgrundlagen!$I$27),'StB-D1 Besondere Lstg'!M120=TRUE),'StB-D1 Besondere Lstg'!J120,"")</f>
        <v/>
      </c>
      <c r="F164" s="800" t="str">
        <f>IF(AND(OR(Projektgrundlagen!$I$26,Projektgrundlagen!$I$27),'StB-D1 Besondere Lstg'!M120=TRUE),'StB-D1 Besondere Lstg'!K120,"")</f>
        <v/>
      </c>
      <c r="G164" s="808"/>
      <c r="H164" s="809"/>
    </row>
    <row r="165" spans="2:8" ht="16">
      <c r="B165" t="str">
        <f>IF(AND(OR(Projektgrundlagen!$I$26,Projektgrundlagen!$I$27),'StB-D1 Besondere Lstg'!M121=TRUE),'StB-D1 Besondere Lstg'!C121&amp;" "&amp;'StB-D1 Besondere Lstg'!F121&amp;" "&amp;'StB-D1 Besondere Lstg'!F122,"")</f>
        <v/>
      </c>
      <c r="C165" s="800" t="str">
        <f>IF(AND(OR(Projektgrundlagen!$I$26,Projektgrundlagen!$I$27),'StB-D1 Besondere Lstg'!M121=TRUE),'StB-D1 Besondere Lstg'!H121,"")</f>
        <v/>
      </c>
      <c r="D165" s="800" t="str">
        <f>IF(AND(OR(Projektgrundlagen!$I$26,Projektgrundlagen!$I$27),'StB-D1 Besondere Lstg'!M121=TRUE),'StB-D1 Besondere Lstg'!I121,"")</f>
        <v/>
      </c>
      <c r="E165" s="800" t="str">
        <f>IF(AND(OR(Projektgrundlagen!$I$26,Projektgrundlagen!$I$27),'StB-D1 Besondere Lstg'!M121=TRUE),'StB-D1 Besondere Lstg'!J121,"")</f>
        <v/>
      </c>
      <c r="F165" s="800" t="str">
        <f>IF(AND(OR(Projektgrundlagen!$I$26,Projektgrundlagen!$I$27),'StB-D1 Besondere Lstg'!M121=TRUE),'StB-D1 Besondere Lstg'!K121,"")</f>
        <v/>
      </c>
      <c r="G165" s="808"/>
      <c r="H165" s="809"/>
    </row>
    <row r="166" spans="2:8" ht="16">
      <c r="B166" t="str">
        <f>IF(AND(OR(Projektgrundlagen!$I$26,Projektgrundlagen!$I$27),'StB-D1 Besondere Lstg'!M122=TRUE),'StB-D1 Besondere Lstg'!C122&amp;" "&amp;'StB-D1 Besondere Lstg'!F122&amp;" "&amp;'StB-D1 Besondere Lstg'!F123,"")</f>
        <v/>
      </c>
      <c r="C166" s="800" t="str">
        <f>IF(AND(OR(Projektgrundlagen!$I$26,Projektgrundlagen!$I$27),'StB-D1 Besondere Lstg'!M122=TRUE),'StB-D1 Besondere Lstg'!H122,"")</f>
        <v/>
      </c>
      <c r="D166" s="800" t="str">
        <f>IF(AND(OR(Projektgrundlagen!$I$26,Projektgrundlagen!$I$27),'StB-D1 Besondere Lstg'!M122=TRUE),'StB-D1 Besondere Lstg'!I122,"")</f>
        <v/>
      </c>
      <c r="E166" s="800" t="str">
        <f>IF(AND(OR(Projektgrundlagen!$I$26,Projektgrundlagen!$I$27),'StB-D1 Besondere Lstg'!M122=TRUE),'StB-D1 Besondere Lstg'!J122,"")</f>
        <v/>
      </c>
      <c r="F166" s="800" t="str">
        <f>IF(AND(OR(Projektgrundlagen!$I$26,Projektgrundlagen!$I$27),'StB-D1 Besondere Lstg'!M122=TRUE),'StB-D1 Besondere Lstg'!K122,"")</f>
        <v/>
      </c>
      <c r="G166" s="808"/>
      <c r="H166" s="809"/>
    </row>
    <row r="167" spans="2:8" ht="16">
      <c r="B167" t="str">
        <f>IF(AND(OR(Projektgrundlagen!$I$26,Projektgrundlagen!$I$27),'StB-D1 Besondere Lstg'!M123=TRUE),'StB-D1 Besondere Lstg'!C123&amp;" "&amp;'StB-D1 Besondere Lstg'!F123&amp;" "&amp;'StB-D1 Besondere Lstg'!F124,"")</f>
        <v/>
      </c>
      <c r="C167" s="800" t="str">
        <f>IF(AND(OR(Projektgrundlagen!$I$26,Projektgrundlagen!$I$27),'StB-D1 Besondere Lstg'!M123=TRUE),'StB-D1 Besondere Lstg'!H123,"")</f>
        <v/>
      </c>
      <c r="D167" s="800" t="str">
        <f>IF(AND(OR(Projektgrundlagen!$I$26,Projektgrundlagen!$I$27),'StB-D1 Besondere Lstg'!M123=TRUE),'StB-D1 Besondere Lstg'!I123,"")</f>
        <v/>
      </c>
      <c r="E167" s="800" t="str">
        <f>IF(AND(OR(Projektgrundlagen!$I$26,Projektgrundlagen!$I$27),'StB-D1 Besondere Lstg'!M123=TRUE),'StB-D1 Besondere Lstg'!J123,"")</f>
        <v/>
      </c>
      <c r="F167" s="800" t="str">
        <f>IF(AND(OR(Projektgrundlagen!$I$26,Projektgrundlagen!$I$27),'StB-D1 Besondere Lstg'!M123=TRUE),'StB-D1 Besondere Lstg'!K123,"")</f>
        <v/>
      </c>
      <c r="G167" s="808"/>
      <c r="H167" s="809"/>
    </row>
    <row r="168" spans="2:8" ht="16">
      <c r="B168" t="str">
        <f>IF(AND(OR(Projektgrundlagen!$I$26,Projektgrundlagen!$I$27),'StB-D1 Besondere Lstg'!M124=TRUE),'StB-D1 Besondere Lstg'!C124&amp;" "&amp;'StB-D1 Besondere Lstg'!F124&amp;" "&amp;'StB-D1 Besondere Lstg'!F125,"")</f>
        <v/>
      </c>
      <c r="C168" s="800" t="str">
        <f>IF(AND(OR(Projektgrundlagen!$I$26,Projektgrundlagen!$I$27),'StB-D1 Besondere Lstg'!M124=TRUE),'StB-D1 Besondere Lstg'!H124,"")</f>
        <v/>
      </c>
      <c r="D168" s="800" t="str">
        <f>IF(AND(OR(Projektgrundlagen!$I$26,Projektgrundlagen!$I$27),'StB-D1 Besondere Lstg'!M124=TRUE),'StB-D1 Besondere Lstg'!I124,"")</f>
        <v/>
      </c>
      <c r="E168" s="800" t="str">
        <f>IF(AND(OR(Projektgrundlagen!$I$26,Projektgrundlagen!$I$27),'StB-D1 Besondere Lstg'!M124=TRUE),'StB-D1 Besondere Lstg'!J124,"")</f>
        <v/>
      </c>
      <c r="F168" s="800" t="str">
        <f>IF(AND(OR(Projektgrundlagen!$I$26,Projektgrundlagen!$I$27),'StB-D1 Besondere Lstg'!M124=TRUE),'StB-D1 Besondere Lstg'!K124,"")</f>
        <v/>
      </c>
      <c r="G168" s="808"/>
      <c r="H168" s="809"/>
    </row>
    <row r="169" spans="2:8" ht="16">
      <c r="B169" t="str">
        <f>IF(AND(OR(Projektgrundlagen!$I$26,Projektgrundlagen!$I$27),'StB-D1 Besondere Lstg'!M125=TRUE),'StB-D1 Besondere Lstg'!C125&amp;" "&amp;'StB-D1 Besondere Lstg'!F125&amp;" "&amp;'StB-D1 Besondere Lstg'!F126,"")</f>
        <v>4.01 Mitwirken an der Prüfung der Verpflichtung,  zu einem Vorhaben oder einer Planung eine Umweltverträglichkeitsprüfung durchzuführen (Screening)</v>
      </c>
      <c r="C169" s="800">
        <f>IF(AND(OR(Projektgrundlagen!$I$26,Projektgrundlagen!$I$27),'StB-D1 Besondere Lstg'!M125=TRUE),'StB-D1 Besondere Lstg'!H125,"")</f>
        <v>1</v>
      </c>
      <c r="D169" s="800" t="str">
        <f>IF(AND(OR(Projektgrundlagen!$I$26,Projektgrundlagen!$I$27),'StB-D1 Besondere Lstg'!M125=TRUE),'StB-D1 Besondere Lstg'!I125,"")</f>
        <v>psch</v>
      </c>
      <c r="E169" s="800">
        <f>IF(AND(OR(Projektgrundlagen!$I$26,Projektgrundlagen!$I$27),'StB-D1 Besondere Lstg'!M125=TRUE),'StB-D1 Besondere Lstg'!J125,"")</f>
        <v>0</v>
      </c>
      <c r="F169" s="800">
        <f>IF(AND(OR(Projektgrundlagen!$I$26,Projektgrundlagen!$I$27),'StB-D1 Besondere Lstg'!M125=TRUE),'StB-D1 Besondere Lstg'!K125,"")</f>
        <v>0</v>
      </c>
      <c r="G169" s="808"/>
      <c r="H169" s="809"/>
    </row>
    <row r="170" spans="2:8" ht="16">
      <c r="B170" t="str">
        <f>IF(AND(OR(Projektgrundlagen!$I$26,Projektgrundlagen!$I$27),'StB-D1 Besondere Lstg'!M126=TRUE),'StB-D1 Besondere Lstg'!C126&amp;" "&amp;'StB-D1 Besondere Lstg'!F126&amp;" "&amp;'StB-D1 Besondere Lstg'!F127,"")</f>
        <v/>
      </c>
      <c r="C170" s="800" t="str">
        <f>IF(AND(OR(Projektgrundlagen!$I$26,Projektgrundlagen!$I$27),'StB-D1 Besondere Lstg'!M126=TRUE),'StB-D1 Besondere Lstg'!H126,"")</f>
        <v/>
      </c>
      <c r="D170" s="800" t="str">
        <f>IF(AND(OR(Projektgrundlagen!$I$26,Projektgrundlagen!$I$27),'StB-D1 Besondere Lstg'!M126=TRUE),'StB-D1 Besondere Lstg'!I126,"")</f>
        <v/>
      </c>
      <c r="E170" s="800" t="str">
        <f>IF(AND(OR(Projektgrundlagen!$I$26,Projektgrundlagen!$I$27),'StB-D1 Besondere Lstg'!M126=TRUE),'StB-D1 Besondere Lstg'!J126,"")</f>
        <v/>
      </c>
      <c r="F170" s="800" t="str">
        <f>IF(AND(OR(Projektgrundlagen!$I$26,Projektgrundlagen!$I$27),'StB-D1 Besondere Lstg'!M126=TRUE),'StB-D1 Besondere Lstg'!K126,"")</f>
        <v/>
      </c>
      <c r="G170" s="808"/>
      <c r="H170" s="809"/>
    </row>
    <row r="171" spans="2:8" ht="16">
      <c r="B171" t="str">
        <f>IF(AND(OR(Projektgrundlagen!$I$26,Projektgrundlagen!$I$27),'StB-D1 Besondere Lstg'!M127=TRUE),'StB-D1 Besondere Lstg'!C127&amp;" "&amp;'StB-D1 Besondere Lstg'!F127&amp;" "&amp;'StB-D1 Besondere Lstg'!F128,"")</f>
        <v/>
      </c>
      <c r="C171" s="800" t="str">
        <f>IF(AND(OR(Projektgrundlagen!$I$26,Projektgrundlagen!$I$27),'StB-D1 Besondere Lstg'!M127=TRUE),'StB-D1 Besondere Lstg'!H127,"")</f>
        <v/>
      </c>
      <c r="D171" s="800" t="str">
        <f>IF(AND(OR(Projektgrundlagen!$I$26,Projektgrundlagen!$I$27),'StB-D1 Besondere Lstg'!M127=TRUE),'StB-D1 Besondere Lstg'!I127,"")</f>
        <v/>
      </c>
      <c r="E171" s="800" t="str">
        <f>IF(AND(OR(Projektgrundlagen!$I$26,Projektgrundlagen!$I$27),'StB-D1 Besondere Lstg'!M127=TRUE),'StB-D1 Besondere Lstg'!J127,"")</f>
        <v/>
      </c>
      <c r="F171" s="800" t="str">
        <f>IF(AND(OR(Projektgrundlagen!$I$26,Projektgrundlagen!$I$27),'StB-D1 Besondere Lstg'!M127=TRUE),'StB-D1 Besondere Lstg'!K127,"")</f>
        <v/>
      </c>
      <c r="G171" s="808"/>
      <c r="H171" s="809"/>
    </row>
    <row r="172" spans="2:8" ht="16">
      <c r="B172" t="str">
        <f>IF(AND(OR(Projektgrundlagen!$I$26,Projektgrundlagen!$I$27),'StB-D1 Besondere Lstg'!M128=TRUE),'StB-D1 Besondere Lstg'!C128&amp;" "&amp;'StB-D1 Besondere Lstg'!F128&amp;" "&amp;'StB-D1 Besondere Lstg'!F129,"")</f>
        <v/>
      </c>
      <c r="C172" s="800" t="str">
        <f>IF(AND(OR(Projektgrundlagen!$I$26,Projektgrundlagen!$I$27),'StB-D1 Besondere Lstg'!M128=TRUE),'StB-D1 Besondere Lstg'!H128,"")</f>
        <v/>
      </c>
      <c r="D172" s="800" t="str">
        <f>IF(AND(OR(Projektgrundlagen!$I$26,Projektgrundlagen!$I$27),'StB-D1 Besondere Lstg'!M128=TRUE),'StB-D1 Besondere Lstg'!I128,"")</f>
        <v/>
      </c>
      <c r="E172" s="800" t="str">
        <f>IF(AND(OR(Projektgrundlagen!$I$26,Projektgrundlagen!$I$27),'StB-D1 Besondere Lstg'!M128=TRUE),'StB-D1 Besondere Lstg'!J128,"")</f>
        <v/>
      </c>
      <c r="F172" s="800" t="str">
        <f>IF(AND(OR(Projektgrundlagen!$I$26,Projektgrundlagen!$I$27),'StB-D1 Besondere Lstg'!M128=TRUE),'StB-D1 Besondere Lstg'!K128,"")</f>
        <v/>
      </c>
      <c r="G172" s="808"/>
      <c r="H172" s="809"/>
    </row>
    <row r="173" spans="2:8" ht="16">
      <c r="B173" t="str">
        <f>IF(AND(OR(Projektgrundlagen!$I$26,Projektgrundlagen!$I$27),'StB-D1 Besondere Lstg'!M129=TRUE),'StB-D1 Besondere Lstg'!C129&amp;" "&amp;'StB-D1 Besondere Lstg'!F129&amp;" "&amp;'StB-D1 Besondere Lstg'!F130,"")</f>
        <v/>
      </c>
      <c r="C173" s="800" t="str">
        <f>IF(AND(OR(Projektgrundlagen!$I$26,Projektgrundlagen!$I$27),'StB-D1 Besondere Lstg'!M129=TRUE),'StB-D1 Besondere Lstg'!H129,"")</f>
        <v/>
      </c>
      <c r="D173" s="800" t="str">
        <f>IF(AND(OR(Projektgrundlagen!$I$26,Projektgrundlagen!$I$27),'StB-D1 Besondere Lstg'!M129=TRUE),'StB-D1 Besondere Lstg'!I129,"")</f>
        <v/>
      </c>
      <c r="E173" s="800" t="str">
        <f>IF(AND(OR(Projektgrundlagen!$I$26,Projektgrundlagen!$I$27),'StB-D1 Besondere Lstg'!M129=TRUE),'StB-D1 Besondere Lstg'!J129,"")</f>
        <v/>
      </c>
      <c r="F173" s="800" t="str">
        <f>IF(AND(OR(Projektgrundlagen!$I$26,Projektgrundlagen!$I$27),'StB-D1 Besondere Lstg'!M129=TRUE),'StB-D1 Besondere Lstg'!K129,"")</f>
        <v/>
      </c>
      <c r="G173" s="808"/>
      <c r="H173" s="809"/>
    </row>
    <row r="174" spans="2:8" ht="16">
      <c r="B174" t="str">
        <f>IF(AND(OR(Projektgrundlagen!$I$26,Projektgrundlagen!$I$27),'StB-D1 Besondere Lstg'!M130=TRUE),'StB-D1 Besondere Lstg'!C130&amp;" "&amp;'StB-D1 Besondere Lstg'!F130&amp;" "&amp;'StB-D1 Besondere Lstg'!F131,"")</f>
        <v/>
      </c>
      <c r="C174" s="800" t="str">
        <f>IF(AND(OR(Projektgrundlagen!$I$26,Projektgrundlagen!$I$27),'StB-D1 Besondere Lstg'!M130=TRUE),'StB-D1 Besondere Lstg'!H130,"")</f>
        <v/>
      </c>
      <c r="D174" s="800" t="str">
        <f>IF(AND(OR(Projektgrundlagen!$I$26,Projektgrundlagen!$I$27),'StB-D1 Besondere Lstg'!M130=TRUE),'StB-D1 Besondere Lstg'!I130,"")</f>
        <v/>
      </c>
      <c r="E174" s="800" t="str">
        <f>IF(AND(OR(Projektgrundlagen!$I$26,Projektgrundlagen!$I$27),'StB-D1 Besondere Lstg'!M130=TRUE),'StB-D1 Besondere Lstg'!J130,"")</f>
        <v/>
      </c>
      <c r="F174" s="800" t="str">
        <f>IF(AND(OR(Projektgrundlagen!$I$26,Projektgrundlagen!$I$27),'StB-D1 Besondere Lstg'!M130=TRUE),'StB-D1 Besondere Lstg'!K130,"")</f>
        <v/>
      </c>
      <c r="G174" s="808"/>
      <c r="H174" s="809"/>
    </row>
    <row r="175" spans="2:8" ht="16">
      <c r="B175" t="str">
        <f>IF(AND(OR(Projektgrundlagen!$I$26,Projektgrundlagen!$I$27),'StB-D1 Besondere Lstg'!M131=TRUE),'StB-D1 Besondere Lstg'!C131&amp;" "&amp;'StB-D1 Besondere Lstg'!F131&amp;" "&amp;'StB-D1 Besondere Lstg'!F132,"")</f>
        <v/>
      </c>
      <c r="C175" s="800" t="str">
        <f>IF(AND(OR(Projektgrundlagen!$I$26,Projektgrundlagen!$I$27),'StB-D1 Besondere Lstg'!M131=TRUE),'StB-D1 Besondere Lstg'!H131,"")</f>
        <v/>
      </c>
      <c r="D175" s="800" t="str">
        <f>IF(AND(OR(Projektgrundlagen!$I$26,Projektgrundlagen!$I$27),'StB-D1 Besondere Lstg'!M131=TRUE),'StB-D1 Besondere Lstg'!I131,"")</f>
        <v/>
      </c>
      <c r="E175" s="800" t="str">
        <f>IF(AND(OR(Projektgrundlagen!$I$26,Projektgrundlagen!$I$27),'StB-D1 Besondere Lstg'!M131=TRUE),'StB-D1 Besondere Lstg'!J131,"")</f>
        <v/>
      </c>
      <c r="F175" s="800" t="str">
        <f>IF(AND(OR(Projektgrundlagen!$I$26,Projektgrundlagen!$I$27),'StB-D1 Besondere Lstg'!M131=TRUE),'StB-D1 Besondere Lstg'!K131,"")</f>
        <v/>
      </c>
      <c r="G175" s="808"/>
      <c r="H175" s="809"/>
    </row>
    <row r="176" spans="2:8" ht="16">
      <c r="B176" t="str">
        <f>IF(AND(OR(Projektgrundlagen!$I$26,Projektgrundlagen!$I$27),'StB-D1 Besondere Lstg'!M132=TRUE),'StB-D1 Besondere Lstg'!C132&amp;" "&amp;'StB-D1 Besondere Lstg'!F132&amp;" "&amp;'StB-D1 Besondere Lstg'!F133,"")</f>
        <v/>
      </c>
      <c r="C176" s="800" t="str">
        <f>IF(AND(OR(Projektgrundlagen!$I$26,Projektgrundlagen!$I$27),'StB-D1 Besondere Lstg'!M132=TRUE),'StB-D1 Besondere Lstg'!H132,"")</f>
        <v/>
      </c>
      <c r="D176" s="800" t="str">
        <f>IF(AND(OR(Projektgrundlagen!$I$26,Projektgrundlagen!$I$27),'StB-D1 Besondere Lstg'!M132=TRUE),'StB-D1 Besondere Lstg'!I132,"")</f>
        <v/>
      </c>
      <c r="E176" s="800" t="str">
        <f>IF(AND(OR(Projektgrundlagen!$I$26,Projektgrundlagen!$I$27),'StB-D1 Besondere Lstg'!M132=TRUE),'StB-D1 Besondere Lstg'!J132,"")</f>
        <v/>
      </c>
      <c r="F176" s="800" t="str">
        <f>IF(AND(OR(Projektgrundlagen!$I$26,Projektgrundlagen!$I$27),'StB-D1 Besondere Lstg'!M132=TRUE),'StB-D1 Besondere Lstg'!K132,"")</f>
        <v/>
      </c>
      <c r="G176" s="808"/>
      <c r="H176" s="809"/>
    </row>
    <row r="177" spans="2:8" ht="16">
      <c r="B177" t="str">
        <f>IF(AND(OR(Projektgrundlagen!$I$26,Projektgrundlagen!$I$27),'StB-D1 Besondere Lstg'!M133=TRUE),'StB-D1 Besondere Lstg'!C133&amp;" "&amp;'StB-D1 Besondere Lstg'!F133&amp;" "&amp;'StB-D1 Besondere Lstg'!F134,"")</f>
        <v/>
      </c>
      <c r="C177" s="800" t="str">
        <f>IF(AND(OR(Projektgrundlagen!$I$26,Projektgrundlagen!$I$27),'StB-D1 Besondere Lstg'!M133=TRUE),'StB-D1 Besondere Lstg'!H133,"")</f>
        <v/>
      </c>
      <c r="D177" s="800" t="str">
        <f>IF(AND(OR(Projektgrundlagen!$I$26,Projektgrundlagen!$I$27),'StB-D1 Besondere Lstg'!M133=TRUE),'StB-D1 Besondere Lstg'!I133,"")</f>
        <v/>
      </c>
      <c r="E177" s="800" t="str">
        <f>IF(AND(OR(Projektgrundlagen!$I$26,Projektgrundlagen!$I$27),'StB-D1 Besondere Lstg'!M133=TRUE),'StB-D1 Besondere Lstg'!J133,"")</f>
        <v/>
      </c>
      <c r="F177" s="800" t="str">
        <f>IF(AND(OR(Projektgrundlagen!$I$26,Projektgrundlagen!$I$27),'StB-D1 Besondere Lstg'!M133=TRUE),'StB-D1 Besondere Lstg'!K133,"")</f>
        <v/>
      </c>
      <c r="G177" s="808"/>
      <c r="H177" s="809"/>
    </row>
    <row r="178" spans="2:8" ht="16">
      <c r="B178" t="str">
        <f>IF(AND(OR(Projektgrundlagen!$I$26,Projektgrundlagen!$I$27),'StB-D1 Besondere Lstg'!M134=TRUE),'StB-D1 Besondere Lstg'!C134&amp;" "&amp;'StB-D1 Besondere Lstg'!F134&amp;" "&amp;'StB-D1 Besondere Lstg'!F135,"")</f>
        <v/>
      </c>
      <c r="C178" s="800" t="str">
        <f>IF(AND(OR(Projektgrundlagen!$I$26,Projektgrundlagen!$I$27),'StB-D1 Besondere Lstg'!M134=TRUE),'StB-D1 Besondere Lstg'!H134,"")</f>
        <v/>
      </c>
      <c r="D178" s="800" t="str">
        <f>IF(AND(OR(Projektgrundlagen!$I$26,Projektgrundlagen!$I$27),'StB-D1 Besondere Lstg'!M134=TRUE),'StB-D1 Besondere Lstg'!I134,"")</f>
        <v/>
      </c>
      <c r="E178" s="800" t="str">
        <f>IF(AND(OR(Projektgrundlagen!$I$26,Projektgrundlagen!$I$27),'StB-D1 Besondere Lstg'!M134=TRUE),'StB-D1 Besondere Lstg'!J134,"")</f>
        <v/>
      </c>
      <c r="F178" s="800" t="str">
        <f>IF(AND(OR(Projektgrundlagen!$I$26,Projektgrundlagen!$I$27),'StB-D1 Besondere Lstg'!M134=TRUE),'StB-D1 Besondere Lstg'!K134,"")</f>
        <v/>
      </c>
      <c r="G178" s="808"/>
      <c r="H178" s="809"/>
    </row>
    <row r="179" spans="2:8" ht="16">
      <c r="B179" t="str">
        <f>IF(AND(OR(Projektgrundlagen!$I$26,Projektgrundlagen!$I$27),'StB-D1 Besondere Lstg'!M135=TRUE),'StB-D1 Besondere Lstg'!C135&amp;" "&amp;'StB-D1 Besondere Lstg'!F135&amp;" "&amp;'StB-D1 Besondere Lstg'!F136,"")</f>
        <v/>
      </c>
      <c r="C179" s="800" t="str">
        <f>IF(AND(OR(Projektgrundlagen!$I$26,Projektgrundlagen!$I$27),'StB-D1 Besondere Lstg'!M135=TRUE),'StB-D1 Besondere Lstg'!H135,"")</f>
        <v/>
      </c>
      <c r="D179" s="800" t="str">
        <f>IF(AND(OR(Projektgrundlagen!$I$26,Projektgrundlagen!$I$27),'StB-D1 Besondere Lstg'!M135=TRUE),'StB-D1 Besondere Lstg'!I135,"")</f>
        <v/>
      </c>
      <c r="E179" s="800" t="str">
        <f>IF(AND(OR(Projektgrundlagen!$I$26,Projektgrundlagen!$I$27),'StB-D1 Besondere Lstg'!M135=TRUE),'StB-D1 Besondere Lstg'!J135,"")</f>
        <v/>
      </c>
      <c r="F179" s="800" t="str">
        <f>IF(AND(OR(Projektgrundlagen!$I$26,Projektgrundlagen!$I$27),'StB-D1 Besondere Lstg'!M135=TRUE),'StB-D1 Besondere Lstg'!K135,"")</f>
        <v/>
      </c>
      <c r="G179" s="808"/>
      <c r="H179" s="809"/>
    </row>
    <row r="180" spans="2:8" ht="16">
      <c r="B180" t="str">
        <f>IF(AND(OR(Projektgrundlagen!$I$26,Projektgrundlagen!$I$27),'StB-D1 Besondere Lstg'!M136=TRUE),'StB-D1 Besondere Lstg'!C136&amp;" "&amp;'StB-D1 Besondere Lstg'!F136&amp;" "&amp;'StB-D1 Besondere Lstg'!F137,"")</f>
        <v/>
      </c>
      <c r="C180" s="800" t="str">
        <f>IF(AND(OR(Projektgrundlagen!$I$26,Projektgrundlagen!$I$27),'StB-D1 Besondere Lstg'!M136=TRUE),'StB-D1 Besondere Lstg'!H136,"")</f>
        <v/>
      </c>
      <c r="D180" s="800" t="str">
        <f>IF(AND(OR(Projektgrundlagen!$I$26,Projektgrundlagen!$I$27),'StB-D1 Besondere Lstg'!M136=TRUE),'StB-D1 Besondere Lstg'!I136,"")</f>
        <v/>
      </c>
      <c r="E180" s="800" t="str">
        <f>IF(AND(OR(Projektgrundlagen!$I$26,Projektgrundlagen!$I$27),'StB-D1 Besondere Lstg'!M136=TRUE),'StB-D1 Besondere Lstg'!J136,"")</f>
        <v/>
      </c>
      <c r="F180" s="800" t="str">
        <f>IF(AND(OR(Projektgrundlagen!$I$26,Projektgrundlagen!$I$27),'StB-D1 Besondere Lstg'!M136=TRUE),'StB-D1 Besondere Lstg'!K136,"")</f>
        <v/>
      </c>
      <c r="G180" s="808"/>
      <c r="H180" s="809"/>
    </row>
    <row r="181" spans="2:8" ht="16">
      <c r="B181" t="str">
        <f>IF(AND(OR(Projektgrundlagen!$I$26,Projektgrundlagen!$I$27),'StB-D1 Besondere Lstg'!M137=TRUE),'StB-D1 Besondere Lstg'!C137&amp;" "&amp;'StB-D1 Besondere Lstg'!F137&amp;" "&amp;'StB-D1 Besondere Lstg'!F138,"")</f>
        <v/>
      </c>
      <c r="C181" s="800" t="str">
        <f>IF(AND(OR(Projektgrundlagen!$I$26,Projektgrundlagen!$I$27),'StB-D1 Besondere Lstg'!M137=TRUE),'StB-D1 Besondere Lstg'!H137,"")</f>
        <v/>
      </c>
      <c r="D181" s="800" t="str">
        <f>IF(AND(OR(Projektgrundlagen!$I$26,Projektgrundlagen!$I$27),'StB-D1 Besondere Lstg'!M137=TRUE),'StB-D1 Besondere Lstg'!I137,"")</f>
        <v/>
      </c>
      <c r="E181" s="800" t="str">
        <f>IF(AND(OR(Projektgrundlagen!$I$26,Projektgrundlagen!$I$27),'StB-D1 Besondere Lstg'!M137=TRUE),'StB-D1 Besondere Lstg'!J137,"")</f>
        <v/>
      </c>
      <c r="F181" s="800" t="str">
        <f>IF(AND(OR(Projektgrundlagen!$I$26,Projektgrundlagen!$I$27),'StB-D1 Besondere Lstg'!M137=TRUE),'StB-D1 Besondere Lstg'!K137,"")</f>
        <v/>
      </c>
      <c r="G181" s="808"/>
      <c r="H181" s="809"/>
    </row>
    <row r="182" spans="2:8" ht="16">
      <c r="B182" t="str">
        <f>IF(AND(OR(Projektgrundlagen!$I$26,Projektgrundlagen!$I$27),'StB-D1 Besondere Lstg'!M138=TRUE),'StB-D1 Besondere Lstg'!C138&amp;" "&amp;'StB-D1 Besondere Lstg'!F138&amp;" "&amp;'StB-D1 Besondere Lstg'!F139,"")</f>
        <v/>
      </c>
      <c r="C182" s="800" t="str">
        <f>IF(AND(OR(Projektgrundlagen!$I$26,Projektgrundlagen!$I$27),'StB-D1 Besondere Lstg'!M138=TRUE),'StB-D1 Besondere Lstg'!H138,"")</f>
        <v/>
      </c>
      <c r="D182" s="800" t="str">
        <f>IF(AND(OR(Projektgrundlagen!$I$26,Projektgrundlagen!$I$27),'StB-D1 Besondere Lstg'!M138=TRUE),'StB-D1 Besondere Lstg'!I138,"")</f>
        <v/>
      </c>
      <c r="E182" s="800" t="str">
        <f>IF(AND(OR(Projektgrundlagen!$I$26,Projektgrundlagen!$I$27),'StB-D1 Besondere Lstg'!M138=TRUE),'StB-D1 Besondere Lstg'!J138,"")</f>
        <v/>
      </c>
      <c r="F182" s="800" t="str">
        <f>IF(AND(OR(Projektgrundlagen!$I$26,Projektgrundlagen!$I$27),'StB-D1 Besondere Lstg'!M138=TRUE),'StB-D1 Besondere Lstg'!K138,"")</f>
        <v/>
      </c>
      <c r="G182" s="808"/>
      <c r="H182" s="809"/>
    </row>
    <row r="183" spans="2:8" ht="16">
      <c r="B183" t="str">
        <f>IF(AND(OR(Projektgrundlagen!$I$26,Projektgrundlagen!$I$27),'StB-D1 Besondere Lstg'!M139=TRUE),'StB-D1 Besondere Lstg'!C139&amp;" "&amp;'StB-D1 Besondere Lstg'!F139&amp;" "&amp;'StB-D1 Besondere Lstg'!F140,"")</f>
        <v/>
      </c>
      <c r="C183" s="800" t="str">
        <f>IF(AND(OR(Projektgrundlagen!$I$26,Projektgrundlagen!$I$27),'StB-D1 Besondere Lstg'!M139=TRUE),'StB-D1 Besondere Lstg'!H139,"")</f>
        <v/>
      </c>
      <c r="D183" s="800" t="str">
        <f>IF(AND(OR(Projektgrundlagen!$I$26,Projektgrundlagen!$I$27),'StB-D1 Besondere Lstg'!M139=TRUE),'StB-D1 Besondere Lstg'!I139,"")</f>
        <v/>
      </c>
      <c r="E183" s="800" t="str">
        <f>IF(AND(OR(Projektgrundlagen!$I$26,Projektgrundlagen!$I$27),'StB-D1 Besondere Lstg'!M139=TRUE),'StB-D1 Besondere Lstg'!J139,"")</f>
        <v/>
      </c>
      <c r="F183" s="800" t="str">
        <f>IF(AND(OR(Projektgrundlagen!$I$26,Projektgrundlagen!$I$27),'StB-D1 Besondere Lstg'!M139=TRUE),'StB-D1 Besondere Lstg'!K139,"")</f>
        <v/>
      </c>
      <c r="G183" s="808"/>
      <c r="H183" s="809"/>
    </row>
    <row r="184" spans="2:8" ht="16">
      <c r="B184" t="str">
        <f>IF(AND(OR(Projektgrundlagen!$I$26,Projektgrundlagen!$I$27),'StB-D1 Besondere Lstg'!M140=TRUE),'StB-D1 Besondere Lstg'!C140&amp;" "&amp;'StB-D1 Besondere Lstg'!F140&amp;" "&amp;'StB-D1 Besondere Lstg'!F141,"")</f>
        <v/>
      </c>
      <c r="C184" s="800" t="str">
        <f>IF(AND(OR(Projektgrundlagen!$I$26,Projektgrundlagen!$I$27),'StB-D1 Besondere Lstg'!M140=TRUE),'StB-D1 Besondere Lstg'!H140,"")</f>
        <v/>
      </c>
      <c r="D184" s="800" t="str">
        <f>IF(AND(OR(Projektgrundlagen!$I$26,Projektgrundlagen!$I$27),'StB-D1 Besondere Lstg'!M140=TRUE),'StB-D1 Besondere Lstg'!I140,"")</f>
        <v/>
      </c>
      <c r="E184" s="800" t="str">
        <f>IF(AND(OR(Projektgrundlagen!$I$26,Projektgrundlagen!$I$27),'StB-D1 Besondere Lstg'!M140=TRUE),'StB-D1 Besondere Lstg'!J140,"")</f>
        <v/>
      </c>
      <c r="F184" s="800" t="str">
        <f>IF(AND(OR(Projektgrundlagen!$I$26,Projektgrundlagen!$I$27),'StB-D1 Besondere Lstg'!M140=TRUE),'StB-D1 Besondere Lstg'!K140,"")</f>
        <v/>
      </c>
      <c r="G184" s="808"/>
      <c r="H184" s="809"/>
    </row>
    <row r="185" spans="2:8" ht="16">
      <c r="B185" t="str">
        <f>IF(AND(OR(Projektgrundlagen!$I$26,Projektgrundlagen!$I$27),'StB-D1 Besondere Lstg'!M141=TRUE),'StB-D1 Besondere Lstg'!C141&amp;" "&amp;'StB-D1 Besondere Lstg'!F141&amp;" "&amp;'StB-D1 Besondere Lstg'!F142,"")</f>
        <v/>
      </c>
      <c r="C185" s="800" t="str">
        <f>IF(AND(OR(Projektgrundlagen!$I$26,Projektgrundlagen!$I$27),'StB-D1 Besondere Lstg'!M141=TRUE),'StB-D1 Besondere Lstg'!H141,"")</f>
        <v/>
      </c>
      <c r="D185" s="800" t="str">
        <f>IF(AND(OR(Projektgrundlagen!$I$26,Projektgrundlagen!$I$27),'StB-D1 Besondere Lstg'!M141=TRUE),'StB-D1 Besondere Lstg'!I141,"")</f>
        <v/>
      </c>
      <c r="E185" s="800" t="str">
        <f>IF(AND(OR(Projektgrundlagen!$I$26,Projektgrundlagen!$I$27),'StB-D1 Besondere Lstg'!M141=TRUE),'StB-D1 Besondere Lstg'!J141,"")</f>
        <v/>
      </c>
      <c r="F185" s="800" t="str">
        <f>IF(AND(OR(Projektgrundlagen!$I$26,Projektgrundlagen!$I$27),'StB-D1 Besondere Lstg'!M141=TRUE),'StB-D1 Besondere Lstg'!K141,"")</f>
        <v/>
      </c>
      <c r="G185" s="808"/>
      <c r="H185" s="809"/>
    </row>
    <row r="186" spans="2:8" ht="16">
      <c r="B186" t="str">
        <f>IF(AND(OR(Projektgrundlagen!$I$26,Projektgrundlagen!$I$27),'StB-D1 Besondere Lstg'!M142=TRUE),'StB-D1 Besondere Lstg'!C142&amp;" "&amp;'StB-D1 Besondere Lstg'!F142&amp;" "&amp;'StB-D1 Besondere Lstg'!F143,"")</f>
        <v/>
      </c>
      <c r="C186" s="800" t="str">
        <f>IF(AND(OR(Projektgrundlagen!$I$26,Projektgrundlagen!$I$27),'StB-D1 Besondere Lstg'!M142=TRUE),'StB-D1 Besondere Lstg'!H142,"")</f>
        <v/>
      </c>
      <c r="D186" s="800" t="str">
        <f>IF(AND(OR(Projektgrundlagen!$I$26,Projektgrundlagen!$I$27),'StB-D1 Besondere Lstg'!M142=TRUE),'StB-D1 Besondere Lstg'!I142,"")</f>
        <v/>
      </c>
      <c r="E186" s="800" t="str">
        <f>IF(AND(OR(Projektgrundlagen!$I$26,Projektgrundlagen!$I$27),'StB-D1 Besondere Lstg'!M142=TRUE),'StB-D1 Besondere Lstg'!J142,"")</f>
        <v/>
      </c>
      <c r="F186" s="800" t="str">
        <f>IF(AND(OR(Projektgrundlagen!$I$26,Projektgrundlagen!$I$27),'StB-D1 Besondere Lstg'!M142=TRUE),'StB-D1 Besondere Lstg'!K142,"")</f>
        <v/>
      </c>
      <c r="G186" s="808"/>
      <c r="H186" s="809"/>
    </row>
    <row r="187" spans="2:8" ht="16">
      <c r="B187" t="str">
        <f>IF(AND(OR(Projektgrundlagen!$I$26,Projektgrundlagen!$I$27),'StB-D1 Besondere Lstg'!M143=TRUE),'StB-D1 Besondere Lstg'!C143&amp;" "&amp;'StB-D1 Besondere Lstg'!F143&amp;" "&amp;'StB-D1 Besondere Lstg'!F144,"")</f>
        <v/>
      </c>
      <c r="C187" s="800" t="str">
        <f>IF(AND(OR(Projektgrundlagen!$I$26,Projektgrundlagen!$I$27),'StB-D1 Besondere Lstg'!M143=TRUE),'StB-D1 Besondere Lstg'!H143,"")</f>
        <v/>
      </c>
      <c r="D187" s="800" t="str">
        <f>IF(AND(OR(Projektgrundlagen!$I$26,Projektgrundlagen!$I$27),'StB-D1 Besondere Lstg'!M143=TRUE),'StB-D1 Besondere Lstg'!I143,"")</f>
        <v/>
      </c>
      <c r="E187" s="800" t="str">
        <f>IF(AND(OR(Projektgrundlagen!$I$26,Projektgrundlagen!$I$27),'StB-D1 Besondere Lstg'!M143=TRUE),'StB-D1 Besondere Lstg'!J143,"")</f>
        <v/>
      </c>
      <c r="F187" s="800" t="str">
        <f>IF(AND(OR(Projektgrundlagen!$I$26,Projektgrundlagen!$I$27),'StB-D1 Besondere Lstg'!M143=TRUE),'StB-D1 Besondere Lstg'!K143,"")</f>
        <v/>
      </c>
      <c r="G187" s="808"/>
      <c r="H187" s="809"/>
    </row>
    <row r="188" spans="2:8" ht="16">
      <c r="B188" t="str">
        <f>IF(AND(OR(Projektgrundlagen!$I$26,Projektgrundlagen!$I$27),'StB-D1 Besondere Lstg'!M144=TRUE),'StB-D1 Besondere Lstg'!C144&amp;" "&amp;'StB-D1 Besondere Lstg'!F144&amp;" "&amp;'StB-D1 Besondere Lstg'!F145,"")</f>
        <v/>
      </c>
      <c r="C188" s="800" t="str">
        <f>IF(AND(OR(Projektgrundlagen!$I$26,Projektgrundlagen!$I$27),'StB-D1 Besondere Lstg'!M144=TRUE),'StB-D1 Besondere Lstg'!H144,"")</f>
        <v/>
      </c>
      <c r="D188" s="800" t="str">
        <f>IF(AND(OR(Projektgrundlagen!$I$26,Projektgrundlagen!$I$27),'StB-D1 Besondere Lstg'!M144=TRUE),'StB-D1 Besondere Lstg'!I144,"")</f>
        <v/>
      </c>
      <c r="E188" s="800" t="str">
        <f>IF(AND(OR(Projektgrundlagen!$I$26,Projektgrundlagen!$I$27),'StB-D1 Besondere Lstg'!M144=TRUE),'StB-D1 Besondere Lstg'!J144,"")</f>
        <v/>
      </c>
      <c r="F188" s="800" t="str">
        <f>IF(AND(OR(Projektgrundlagen!$I$26,Projektgrundlagen!$I$27),'StB-D1 Besondere Lstg'!M144=TRUE),'StB-D1 Besondere Lstg'!K144,"")</f>
        <v/>
      </c>
      <c r="G188" s="808"/>
      <c r="H188" s="809"/>
    </row>
    <row r="189" spans="2:8" ht="16">
      <c r="B189" t="str">
        <f>IF(AND(OR(Projektgrundlagen!$I$26,Projektgrundlagen!$I$27),'StB-D1 Besondere Lstg'!M145=TRUE),'StB-D1 Besondere Lstg'!C145&amp;" "&amp;'StB-D1 Besondere Lstg'!F145&amp;" "&amp;'StB-D1 Besondere Lstg'!F146,"")</f>
        <v/>
      </c>
      <c r="C189" s="800" t="str">
        <f>IF(AND(OR(Projektgrundlagen!$I$26,Projektgrundlagen!$I$27),'StB-D1 Besondere Lstg'!M145=TRUE),'StB-D1 Besondere Lstg'!H145,"")</f>
        <v/>
      </c>
      <c r="D189" s="800" t="str">
        <f>IF(AND(OR(Projektgrundlagen!$I$26,Projektgrundlagen!$I$27),'StB-D1 Besondere Lstg'!M145=TRUE),'StB-D1 Besondere Lstg'!I145,"")</f>
        <v/>
      </c>
      <c r="E189" s="800" t="str">
        <f>IF(AND(OR(Projektgrundlagen!$I$26,Projektgrundlagen!$I$27),'StB-D1 Besondere Lstg'!M145=TRUE),'StB-D1 Besondere Lstg'!J145,"")</f>
        <v/>
      </c>
      <c r="F189" s="800" t="str">
        <f>IF(AND(OR(Projektgrundlagen!$I$26,Projektgrundlagen!$I$27),'StB-D1 Besondere Lstg'!M145=TRUE),'StB-D1 Besondere Lstg'!K145,"")</f>
        <v/>
      </c>
      <c r="G189" s="808"/>
      <c r="H189" s="809"/>
    </row>
    <row r="190" spans="2:8" ht="16">
      <c r="B190" t="str">
        <f>IF(AND(OR(Projektgrundlagen!$I$26,Projektgrundlagen!$I$27),'StB-D1 Besondere Lstg'!M146=TRUE),'StB-D1 Besondere Lstg'!C146&amp;" "&amp;'StB-D1 Besondere Lstg'!F146&amp;" "&amp;'StB-D1 Besondere Lstg'!F147,"")</f>
        <v/>
      </c>
      <c r="C190" s="800" t="str">
        <f>IF(AND(OR(Projektgrundlagen!$I$26,Projektgrundlagen!$I$27),'StB-D1 Besondere Lstg'!M146=TRUE),'StB-D1 Besondere Lstg'!H146,"")</f>
        <v/>
      </c>
      <c r="D190" s="800" t="str">
        <f>IF(AND(OR(Projektgrundlagen!$I$26,Projektgrundlagen!$I$27),'StB-D1 Besondere Lstg'!M146=TRUE),'StB-D1 Besondere Lstg'!I146,"")</f>
        <v/>
      </c>
      <c r="E190" s="800" t="str">
        <f>IF(AND(OR(Projektgrundlagen!$I$26,Projektgrundlagen!$I$27),'StB-D1 Besondere Lstg'!M146=TRUE),'StB-D1 Besondere Lstg'!J146,"")</f>
        <v/>
      </c>
      <c r="F190" s="800" t="str">
        <f>IF(AND(OR(Projektgrundlagen!$I$26,Projektgrundlagen!$I$27),'StB-D1 Besondere Lstg'!M146=TRUE),'StB-D1 Besondere Lstg'!K146,"")</f>
        <v/>
      </c>
      <c r="G190" s="808"/>
      <c r="H190" s="809"/>
    </row>
    <row r="191" spans="2:8" ht="16">
      <c r="B191" t="str">
        <f>IF(AND(OR(Projektgrundlagen!$I$26,Projektgrundlagen!$I$27),'StB-D1 Besondere Lstg'!M147=TRUE),'StB-D1 Besondere Lstg'!C147&amp;" "&amp;'StB-D1 Besondere Lstg'!F147&amp;" "&amp;'StB-D1 Besondere Lstg'!F148,"")</f>
        <v/>
      </c>
      <c r="C191" s="800" t="str">
        <f>IF(AND(OR(Projektgrundlagen!$I$26,Projektgrundlagen!$I$27),'StB-D1 Besondere Lstg'!M147=TRUE),'StB-D1 Besondere Lstg'!H147,"")</f>
        <v/>
      </c>
      <c r="D191" s="800" t="str">
        <f>IF(AND(OR(Projektgrundlagen!$I$26,Projektgrundlagen!$I$27),'StB-D1 Besondere Lstg'!M147=TRUE),'StB-D1 Besondere Lstg'!I147,"")</f>
        <v/>
      </c>
      <c r="E191" s="800" t="str">
        <f>IF(AND(OR(Projektgrundlagen!$I$26,Projektgrundlagen!$I$27),'StB-D1 Besondere Lstg'!M147=TRUE),'StB-D1 Besondere Lstg'!J147,"")</f>
        <v/>
      </c>
      <c r="F191" s="800" t="str">
        <f>IF(AND(OR(Projektgrundlagen!$I$26,Projektgrundlagen!$I$27),'StB-D1 Besondere Lstg'!M147=TRUE),'StB-D1 Besondere Lstg'!K147,"")</f>
        <v/>
      </c>
      <c r="G191" s="808"/>
      <c r="H191" s="809"/>
    </row>
    <row r="192" spans="2:8" ht="16">
      <c r="B192" t="str">
        <f>IF(AND(OR(Projektgrundlagen!$I$26,Projektgrundlagen!$I$27),'StB-D1 Besondere Lstg'!M148=TRUE),'StB-D1 Besondere Lstg'!C148&amp;" "&amp;'StB-D1 Besondere Lstg'!F148&amp;" "&amp;'StB-D1 Besondere Lstg'!F149,"")</f>
        <v/>
      </c>
      <c r="C192" s="800" t="str">
        <f>IF(AND(OR(Projektgrundlagen!$I$26,Projektgrundlagen!$I$27),'StB-D1 Besondere Lstg'!M148=TRUE),'StB-D1 Besondere Lstg'!H148,"")</f>
        <v/>
      </c>
      <c r="D192" s="800" t="str">
        <f>IF(AND(OR(Projektgrundlagen!$I$26,Projektgrundlagen!$I$27),'StB-D1 Besondere Lstg'!M148=TRUE),'StB-D1 Besondere Lstg'!I148,"")</f>
        <v/>
      </c>
      <c r="E192" s="800" t="str">
        <f>IF(AND(OR(Projektgrundlagen!$I$26,Projektgrundlagen!$I$27),'StB-D1 Besondere Lstg'!M148=TRUE),'StB-D1 Besondere Lstg'!J148,"")</f>
        <v/>
      </c>
      <c r="F192" s="800" t="str">
        <f>IF(AND(OR(Projektgrundlagen!$I$26,Projektgrundlagen!$I$27),'StB-D1 Besondere Lstg'!M148=TRUE),'StB-D1 Besondere Lstg'!K148,"")</f>
        <v/>
      </c>
      <c r="G192" s="808"/>
      <c r="H192" s="809"/>
    </row>
    <row r="193" spans="2:8" ht="16">
      <c r="B193" t="str">
        <f>IF(AND(OR(Projektgrundlagen!$I$26,Projektgrundlagen!$I$27),'StB-D1 Besondere Lstg'!M149=TRUE),'StB-D1 Besondere Lstg'!C149&amp;" "&amp;'StB-D1 Besondere Lstg'!F149&amp;" "&amp;'StB-D1 Besondere Lstg'!F150,"")</f>
        <v/>
      </c>
      <c r="C193" s="800" t="str">
        <f>IF(AND(OR(Projektgrundlagen!$I$26,Projektgrundlagen!$I$27),'StB-D1 Besondere Lstg'!M149=TRUE),'StB-D1 Besondere Lstg'!H149,"")</f>
        <v/>
      </c>
      <c r="D193" s="800" t="str">
        <f>IF(AND(OR(Projektgrundlagen!$I$26,Projektgrundlagen!$I$27),'StB-D1 Besondere Lstg'!M149=TRUE),'StB-D1 Besondere Lstg'!I149,"")</f>
        <v/>
      </c>
      <c r="E193" s="800" t="str">
        <f>IF(AND(OR(Projektgrundlagen!$I$26,Projektgrundlagen!$I$27),'StB-D1 Besondere Lstg'!M149=TRUE),'StB-D1 Besondere Lstg'!J149,"")</f>
        <v/>
      </c>
      <c r="F193" s="800" t="str">
        <f>IF(AND(OR(Projektgrundlagen!$I$26,Projektgrundlagen!$I$27),'StB-D1 Besondere Lstg'!M149=TRUE),'StB-D1 Besondere Lstg'!K149,"")</f>
        <v/>
      </c>
      <c r="G193" s="808"/>
      <c r="H193" s="809"/>
    </row>
    <row r="194" spans="2:8" ht="16">
      <c r="B194" t="str">
        <f>IF(AND(OR(Projektgrundlagen!$I$26,Projektgrundlagen!$I$27),'StB-D1 Besondere Lstg'!M150=TRUE),'StB-D1 Besondere Lstg'!C150&amp;" "&amp;'StB-D1 Besondere Lstg'!F150&amp;" "&amp;'StB-D1 Besondere Lstg'!F151,"")</f>
        <v/>
      </c>
      <c r="C194" s="800" t="str">
        <f>IF(AND(OR(Projektgrundlagen!$I$26,Projektgrundlagen!$I$27),'StB-D1 Besondere Lstg'!M150=TRUE),'StB-D1 Besondere Lstg'!H150,"")</f>
        <v/>
      </c>
      <c r="D194" s="800" t="str">
        <f>IF(AND(OR(Projektgrundlagen!$I$26,Projektgrundlagen!$I$27),'StB-D1 Besondere Lstg'!M150=TRUE),'StB-D1 Besondere Lstg'!I150,"")</f>
        <v/>
      </c>
      <c r="E194" s="800" t="str">
        <f>IF(AND(OR(Projektgrundlagen!$I$26,Projektgrundlagen!$I$27),'StB-D1 Besondere Lstg'!M150=TRUE),'StB-D1 Besondere Lstg'!J150,"")</f>
        <v/>
      </c>
      <c r="F194" s="800" t="str">
        <f>IF(AND(OR(Projektgrundlagen!$I$26,Projektgrundlagen!$I$27),'StB-D1 Besondere Lstg'!M150=TRUE),'StB-D1 Besondere Lstg'!K150,"")</f>
        <v/>
      </c>
      <c r="G194" s="808"/>
      <c r="H194" s="809"/>
    </row>
    <row r="195" spans="2:8" ht="16">
      <c r="B195" t="str">
        <f>IF(AND(OR(Projektgrundlagen!$I$26,Projektgrundlagen!$I$27),'StB-D1 Besondere Lstg'!M151=TRUE),'StB-D1 Besondere Lstg'!C151&amp;" "&amp;'StB-D1 Besondere Lstg'!F151&amp;" "&amp;'StB-D1 Besondere Lstg'!F152,"")</f>
        <v/>
      </c>
      <c r="C195" s="800" t="str">
        <f>IF(AND(OR(Projektgrundlagen!$I$26,Projektgrundlagen!$I$27),'StB-D1 Besondere Lstg'!M151=TRUE),'StB-D1 Besondere Lstg'!H151,"")</f>
        <v/>
      </c>
      <c r="D195" s="800" t="str">
        <f>IF(AND(OR(Projektgrundlagen!$I$26,Projektgrundlagen!$I$27),'StB-D1 Besondere Lstg'!M151=TRUE),'StB-D1 Besondere Lstg'!I151,"")</f>
        <v/>
      </c>
      <c r="E195" s="800" t="str">
        <f>IF(AND(OR(Projektgrundlagen!$I$26,Projektgrundlagen!$I$27),'StB-D1 Besondere Lstg'!M151=TRUE),'StB-D1 Besondere Lstg'!J151,"")</f>
        <v/>
      </c>
      <c r="F195" s="800" t="str">
        <f>IF(AND(OR(Projektgrundlagen!$I$26,Projektgrundlagen!$I$27),'StB-D1 Besondere Lstg'!M151=TRUE),'StB-D1 Besondere Lstg'!K151,"")</f>
        <v/>
      </c>
      <c r="G195" s="808"/>
      <c r="H195" s="809"/>
    </row>
    <row r="196" spans="2:8" ht="16">
      <c r="B196" t="str">
        <f>IF(AND(OR(Projektgrundlagen!$I$26,Projektgrundlagen!$I$27),'StB-D1 Besondere Lstg'!M152=TRUE),'StB-D1 Besondere Lstg'!C152&amp;" "&amp;'StB-D1 Besondere Lstg'!F152&amp;" "&amp;'StB-D1 Besondere Lstg'!F153,"")</f>
        <v/>
      </c>
      <c r="C196" s="800" t="str">
        <f>IF(AND(OR(Projektgrundlagen!$I$26,Projektgrundlagen!$I$27),'StB-D1 Besondere Lstg'!M152=TRUE),'StB-D1 Besondere Lstg'!H152,"")</f>
        <v/>
      </c>
      <c r="D196" s="800" t="str">
        <f>IF(AND(OR(Projektgrundlagen!$I$26,Projektgrundlagen!$I$27),'StB-D1 Besondere Lstg'!M152=TRUE),'StB-D1 Besondere Lstg'!I152,"")</f>
        <v/>
      </c>
      <c r="E196" s="800" t="str">
        <f>IF(AND(OR(Projektgrundlagen!$I$26,Projektgrundlagen!$I$27),'StB-D1 Besondere Lstg'!M152=TRUE),'StB-D1 Besondere Lstg'!J152,"")</f>
        <v/>
      </c>
      <c r="F196" s="800" t="str">
        <f>IF(AND(OR(Projektgrundlagen!$I$26,Projektgrundlagen!$I$27),'StB-D1 Besondere Lstg'!M152=TRUE),'StB-D1 Besondere Lstg'!K152,"")</f>
        <v/>
      </c>
      <c r="G196" s="808"/>
      <c r="H196" s="809"/>
    </row>
    <row r="197" spans="2:8" ht="16">
      <c r="B197" t="str">
        <f>IF(AND(OR(Projektgrundlagen!$I$26,Projektgrundlagen!$I$27),'StB-D1 Besondere Lstg'!M153=TRUE),'StB-D1 Besondere Lstg'!C153&amp;" "&amp;'StB-D1 Besondere Lstg'!F153&amp;" "&amp;'StB-D1 Besondere Lstg'!F154,"")</f>
        <v/>
      </c>
      <c r="C197" s="800" t="str">
        <f>IF(AND(OR(Projektgrundlagen!$I$26,Projektgrundlagen!$I$27),'StB-D1 Besondere Lstg'!M153=TRUE),'StB-D1 Besondere Lstg'!H153,"")</f>
        <v/>
      </c>
      <c r="D197" s="800" t="str">
        <f>IF(AND(OR(Projektgrundlagen!$I$26,Projektgrundlagen!$I$27),'StB-D1 Besondere Lstg'!M153=TRUE),'StB-D1 Besondere Lstg'!I153,"")</f>
        <v/>
      </c>
      <c r="E197" s="800" t="str">
        <f>IF(AND(OR(Projektgrundlagen!$I$26,Projektgrundlagen!$I$27),'StB-D1 Besondere Lstg'!M153=TRUE),'StB-D1 Besondere Lstg'!J153,"")</f>
        <v/>
      </c>
      <c r="F197" s="800" t="str">
        <f>IF(AND(OR(Projektgrundlagen!$I$26,Projektgrundlagen!$I$27),'StB-D1 Besondere Lstg'!M153=TRUE),'StB-D1 Besondere Lstg'!K153,"")</f>
        <v/>
      </c>
      <c r="G197" s="808"/>
      <c r="H197" s="809"/>
    </row>
    <row r="198" spans="2:8" ht="16">
      <c r="B198" t="str">
        <f>IF(AND(OR(Projektgrundlagen!$I$26,Projektgrundlagen!$I$27),'StB-D1 Besondere Lstg'!M154=TRUE),'StB-D1 Besondere Lstg'!C154&amp;" "&amp;'StB-D1 Besondere Lstg'!F154&amp;" "&amp;'StB-D1 Besondere Lstg'!F155,"")</f>
        <v/>
      </c>
      <c r="C198" s="800" t="str">
        <f>IF(AND(OR(Projektgrundlagen!$I$26,Projektgrundlagen!$I$27),'StB-D1 Besondere Lstg'!M154=TRUE),'StB-D1 Besondere Lstg'!H154,"")</f>
        <v/>
      </c>
      <c r="D198" s="800" t="str">
        <f>IF(AND(OR(Projektgrundlagen!$I$26,Projektgrundlagen!$I$27),'StB-D1 Besondere Lstg'!M154=TRUE),'StB-D1 Besondere Lstg'!I154,"")</f>
        <v/>
      </c>
      <c r="E198" s="800" t="str">
        <f>IF(AND(OR(Projektgrundlagen!$I$26,Projektgrundlagen!$I$27),'StB-D1 Besondere Lstg'!M154=TRUE),'StB-D1 Besondere Lstg'!J154,"")</f>
        <v/>
      </c>
      <c r="F198" s="800" t="str">
        <f>IF(AND(OR(Projektgrundlagen!$I$26,Projektgrundlagen!$I$27),'StB-D1 Besondere Lstg'!M154=TRUE),'StB-D1 Besondere Lstg'!K154,"")</f>
        <v/>
      </c>
      <c r="G198" s="808"/>
      <c r="H198" s="809"/>
    </row>
    <row r="199" spans="2:8" ht="16">
      <c r="B199" t="str">
        <f>IF(AND(OR(Projektgrundlagen!$I$26,Projektgrundlagen!$I$27),'StB-D1 Besondere Lstg'!M155=TRUE),'StB-D1 Besondere Lstg'!C155&amp;" "&amp;'StB-D1 Besondere Lstg'!F155&amp;" "&amp;'StB-D1 Besondere Lstg'!F156,"")</f>
        <v>4.11 Kartieren von Biotop- und Nutzungstypen  entsprechend der Biotopwertliste der Bayrischen Kompensationsverordnung (BayKompV) Kartierschärfe Maßstab 1:1.000</v>
      </c>
      <c r="C199" s="800">
        <f>IF(AND(OR(Projektgrundlagen!$I$26,Projektgrundlagen!$I$27),'StB-D1 Besondere Lstg'!M155=TRUE),'StB-D1 Besondere Lstg'!H155,"")</f>
        <v>1</v>
      </c>
      <c r="D199" s="800" t="str">
        <f>IF(AND(OR(Projektgrundlagen!$I$26,Projektgrundlagen!$I$27),'StB-D1 Besondere Lstg'!M155=TRUE),'StB-D1 Besondere Lstg'!I155,"")</f>
        <v>psch</v>
      </c>
      <c r="E199" s="800">
        <f>IF(AND(OR(Projektgrundlagen!$I$26,Projektgrundlagen!$I$27),'StB-D1 Besondere Lstg'!M155=TRUE),'StB-D1 Besondere Lstg'!J155,"")</f>
        <v>0</v>
      </c>
      <c r="F199" s="800">
        <f>IF(AND(OR(Projektgrundlagen!$I$26,Projektgrundlagen!$I$27),'StB-D1 Besondere Lstg'!M155=TRUE),'StB-D1 Besondere Lstg'!K155,"")</f>
        <v>0</v>
      </c>
      <c r="G199" s="808"/>
      <c r="H199" s="809"/>
    </row>
    <row r="200" spans="2:8" ht="16">
      <c r="B200" t="str">
        <f>IF(AND(OR(Projektgrundlagen!$I$26,Projektgrundlagen!$I$27),'StB-D1 Besondere Lstg'!M156=TRUE),'StB-D1 Besondere Lstg'!C156&amp;" "&amp;'StB-D1 Besondere Lstg'!F156&amp;" "&amp;'StB-D1 Besondere Lstg'!F157,"")</f>
        <v/>
      </c>
      <c r="C200" s="800" t="str">
        <f>IF(AND(OR(Projektgrundlagen!$I$26,Projektgrundlagen!$I$27),'StB-D1 Besondere Lstg'!M156=TRUE),'StB-D1 Besondere Lstg'!H156,"")</f>
        <v/>
      </c>
      <c r="D200" s="800" t="str">
        <f>IF(AND(OR(Projektgrundlagen!$I$26,Projektgrundlagen!$I$27),'StB-D1 Besondere Lstg'!M156=TRUE),'StB-D1 Besondere Lstg'!I156,"")</f>
        <v/>
      </c>
      <c r="E200" s="800" t="str">
        <f>IF(AND(OR(Projektgrundlagen!$I$26,Projektgrundlagen!$I$27),'StB-D1 Besondere Lstg'!M156=TRUE),'StB-D1 Besondere Lstg'!J156,"")</f>
        <v/>
      </c>
      <c r="F200" s="800" t="str">
        <f>IF(AND(OR(Projektgrundlagen!$I$26,Projektgrundlagen!$I$27),'StB-D1 Besondere Lstg'!M156=TRUE),'StB-D1 Besondere Lstg'!K156,"")</f>
        <v/>
      </c>
      <c r="G200" s="808"/>
      <c r="H200" s="809"/>
    </row>
    <row r="201" spans="2:8" ht="16">
      <c r="B201" t="str">
        <f>IF(AND(OR(Projektgrundlagen!$I$26,Projektgrundlagen!$I$27),'StB-D1 Besondere Lstg'!M157=TRUE),'StB-D1 Besondere Lstg'!C157&amp;" "&amp;'StB-D1 Besondere Lstg'!F157&amp;" "&amp;'StB-D1 Besondere Lstg'!F158,"")</f>
        <v/>
      </c>
      <c r="C201" s="800" t="str">
        <f>IF(AND(OR(Projektgrundlagen!$I$26,Projektgrundlagen!$I$27),'StB-D1 Besondere Lstg'!M157=TRUE),'StB-D1 Besondere Lstg'!H157,"")</f>
        <v/>
      </c>
      <c r="D201" s="800" t="str">
        <f>IF(AND(OR(Projektgrundlagen!$I$26,Projektgrundlagen!$I$27),'StB-D1 Besondere Lstg'!M157=TRUE),'StB-D1 Besondere Lstg'!I157,"")</f>
        <v/>
      </c>
      <c r="E201" s="800" t="str">
        <f>IF(AND(OR(Projektgrundlagen!$I$26,Projektgrundlagen!$I$27),'StB-D1 Besondere Lstg'!M157=TRUE),'StB-D1 Besondere Lstg'!J157,"")</f>
        <v/>
      </c>
      <c r="F201" s="800" t="str">
        <f>IF(AND(OR(Projektgrundlagen!$I$26,Projektgrundlagen!$I$27),'StB-D1 Besondere Lstg'!M157=TRUE),'StB-D1 Besondere Lstg'!K157,"")</f>
        <v/>
      </c>
      <c r="G201" s="808"/>
      <c r="H201" s="809"/>
    </row>
    <row r="202" spans="2:8" ht="16">
      <c r="B202" t="str">
        <f>IF(AND(OR(Projektgrundlagen!$I$26,Projektgrundlagen!$I$27),'StB-D1 Besondere Lstg'!M158=TRUE),'StB-D1 Besondere Lstg'!C158&amp;" "&amp;'StB-D1 Besondere Lstg'!F158&amp;" "&amp;'StB-D1 Besondere Lstg'!F159,"")</f>
        <v/>
      </c>
      <c r="C202" s="800" t="str">
        <f>IF(AND(OR(Projektgrundlagen!$I$26,Projektgrundlagen!$I$27),'StB-D1 Besondere Lstg'!M158=TRUE),'StB-D1 Besondere Lstg'!H158,"")</f>
        <v/>
      </c>
      <c r="D202" s="800" t="str">
        <f>IF(AND(OR(Projektgrundlagen!$I$26,Projektgrundlagen!$I$27),'StB-D1 Besondere Lstg'!M158=TRUE),'StB-D1 Besondere Lstg'!I158,"")</f>
        <v/>
      </c>
      <c r="E202" s="800" t="str">
        <f>IF(AND(OR(Projektgrundlagen!$I$26,Projektgrundlagen!$I$27),'StB-D1 Besondere Lstg'!M158=TRUE),'StB-D1 Besondere Lstg'!J158,"")</f>
        <v/>
      </c>
      <c r="F202" s="800" t="str">
        <f>IF(AND(OR(Projektgrundlagen!$I$26,Projektgrundlagen!$I$27),'StB-D1 Besondere Lstg'!M158=TRUE),'StB-D1 Besondere Lstg'!K158,"")</f>
        <v/>
      </c>
      <c r="G202" s="808"/>
      <c r="H202" s="809"/>
    </row>
    <row r="203" spans="2:8" ht="16">
      <c r="B203" t="str">
        <f>IF(AND(OR(Projektgrundlagen!$I$26,Projektgrundlagen!$I$27),'StB-D1 Besondere Lstg'!M159=TRUE),'StB-D1 Besondere Lstg'!C159&amp;" "&amp;'StB-D1 Besondere Lstg'!F159&amp;" "&amp;'StB-D1 Besondere Lstg'!F160,"")</f>
        <v/>
      </c>
      <c r="C203" s="800" t="str">
        <f>IF(AND(OR(Projektgrundlagen!$I$26,Projektgrundlagen!$I$27),'StB-D1 Besondere Lstg'!M159=TRUE),'StB-D1 Besondere Lstg'!H159,"")</f>
        <v/>
      </c>
      <c r="D203" s="800" t="str">
        <f>IF(AND(OR(Projektgrundlagen!$I$26,Projektgrundlagen!$I$27),'StB-D1 Besondere Lstg'!M159=TRUE),'StB-D1 Besondere Lstg'!I159,"")</f>
        <v/>
      </c>
      <c r="E203" s="800" t="str">
        <f>IF(AND(OR(Projektgrundlagen!$I$26,Projektgrundlagen!$I$27),'StB-D1 Besondere Lstg'!M159=TRUE),'StB-D1 Besondere Lstg'!J159,"")</f>
        <v/>
      </c>
      <c r="F203" s="800" t="str">
        <f>IF(AND(OR(Projektgrundlagen!$I$26,Projektgrundlagen!$I$27),'StB-D1 Besondere Lstg'!M159=TRUE),'StB-D1 Besondere Lstg'!K159,"")</f>
        <v/>
      </c>
      <c r="G203" s="808"/>
      <c r="H203" s="809"/>
    </row>
    <row r="204" spans="2:8" ht="16">
      <c r="B204" t="str">
        <f>IF(AND(OR(Projektgrundlagen!$I$26,Projektgrundlagen!$I$27),'StB-D1 Besondere Lstg'!M160=TRUE),'StB-D1 Besondere Lstg'!C160&amp;" "&amp;'StB-D1 Besondere Lstg'!F160&amp;" "&amp;'StB-D1 Besondere Lstg'!F161,"")</f>
        <v/>
      </c>
      <c r="C204" s="800" t="str">
        <f>IF(AND(OR(Projektgrundlagen!$I$26,Projektgrundlagen!$I$27),'StB-D1 Besondere Lstg'!M160=TRUE),'StB-D1 Besondere Lstg'!H160,"")</f>
        <v/>
      </c>
      <c r="D204" s="800" t="str">
        <f>IF(AND(OR(Projektgrundlagen!$I$26,Projektgrundlagen!$I$27),'StB-D1 Besondere Lstg'!M160=TRUE),'StB-D1 Besondere Lstg'!I160,"")</f>
        <v/>
      </c>
      <c r="E204" s="800" t="str">
        <f>IF(AND(OR(Projektgrundlagen!$I$26,Projektgrundlagen!$I$27),'StB-D1 Besondere Lstg'!M160=TRUE),'StB-D1 Besondere Lstg'!J160,"")</f>
        <v/>
      </c>
      <c r="F204" s="800" t="str">
        <f>IF(AND(OR(Projektgrundlagen!$I$26,Projektgrundlagen!$I$27),'StB-D1 Besondere Lstg'!M160=TRUE),'StB-D1 Besondere Lstg'!K160,"")</f>
        <v/>
      </c>
      <c r="G204" s="808"/>
      <c r="H204" s="809"/>
    </row>
    <row r="205" spans="2:8" ht="16">
      <c r="B205" t="str">
        <f>IF(AND(OR(Projektgrundlagen!$I$26,Projektgrundlagen!$I$27),'StB-D1 Besondere Lstg'!M161=TRUE),'StB-D1 Besondere Lstg'!C161&amp;" "&amp;'StB-D1 Besondere Lstg'!F161&amp;" "&amp;'StB-D1 Besondere Lstg'!F162,"")</f>
        <v/>
      </c>
      <c r="C205" s="800" t="str">
        <f>IF(AND(OR(Projektgrundlagen!$I$26,Projektgrundlagen!$I$27),'StB-D1 Besondere Lstg'!M161=TRUE),'StB-D1 Besondere Lstg'!H161,"")</f>
        <v/>
      </c>
      <c r="D205" s="800" t="str">
        <f>IF(AND(OR(Projektgrundlagen!$I$26,Projektgrundlagen!$I$27),'StB-D1 Besondere Lstg'!M161=TRUE),'StB-D1 Besondere Lstg'!I161,"")</f>
        <v/>
      </c>
      <c r="E205" s="800" t="str">
        <f>IF(AND(OR(Projektgrundlagen!$I$26,Projektgrundlagen!$I$27),'StB-D1 Besondere Lstg'!M161=TRUE),'StB-D1 Besondere Lstg'!J161,"")</f>
        <v/>
      </c>
      <c r="F205" s="800" t="str">
        <f>IF(AND(OR(Projektgrundlagen!$I$26,Projektgrundlagen!$I$27),'StB-D1 Besondere Lstg'!M161=TRUE),'StB-D1 Besondere Lstg'!K161,"")</f>
        <v/>
      </c>
      <c r="G205" s="808"/>
      <c r="H205" s="809"/>
    </row>
    <row r="206" spans="2:8" ht="16">
      <c r="B206" t="str">
        <f>IF(AND(OR(Projektgrundlagen!$I$26,Projektgrundlagen!$I$27),'StB-D1 Besondere Lstg'!M162=TRUE),'StB-D1 Besondere Lstg'!C162&amp;" "&amp;'StB-D1 Besondere Lstg'!F162&amp;" "&amp;'StB-D1 Besondere Lstg'!F163,"")</f>
        <v/>
      </c>
      <c r="C206" s="800" t="str">
        <f>IF(AND(OR(Projektgrundlagen!$I$26,Projektgrundlagen!$I$27),'StB-D1 Besondere Lstg'!M162=TRUE),'StB-D1 Besondere Lstg'!H162,"")</f>
        <v/>
      </c>
      <c r="D206" s="800" t="str">
        <f>IF(AND(OR(Projektgrundlagen!$I$26,Projektgrundlagen!$I$27),'StB-D1 Besondere Lstg'!M162=TRUE),'StB-D1 Besondere Lstg'!I162,"")</f>
        <v/>
      </c>
      <c r="E206" s="800" t="str">
        <f>IF(AND(OR(Projektgrundlagen!$I$26,Projektgrundlagen!$I$27),'StB-D1 Besondere Lstg'!M162=TRUE),'StB-D1 Besondere Lstg'!J162,"")</f>
        <v/>
      </c>
      <c r="F206" s="800" t="str">
        <f>IF(AND(OR(Projektgrundlagen!$I$26,Projektgrundlagen!$I$27),'StB-D1 Besondere Lstg'!M162=TRUE),'StB-D1 Besondere Lstg'!K162,"")</f>
        <v/>
      </c>
      <c r="G206" s="808"/>
      <c r="H206" s="809"/>
    </row>
    <row r="207" spans="2:8" ht="16">
      <c r="B207" t="str">
        <f>IF(AND(OR(Projektgrundlagen!$I$26,Projektgrundlagen!$I$27),'StB-D1 Besondere Lstg'!M163=TRUE),'StB-D1 Besondere Lstg'!C163&amp;" "&amp;'StB-D1 Besondere Lstg'!F163&amp;" "&amp;'StB-D1 Besondere Lstg'!F164,"")</f>
        <v/>
      </c>
      <c r="C207" s="800" t="str">
        <f>IF(AND(OR(Projektgrundlagen!$I$26,Projektgrundlagen!$I$27),'StB-D1 Besondere Lstg'!M163=TRUE),'StB-D1 Besondere Lstg'!H163,"")</f>
        <v/>
      </c>
      <c r="D207" s="800" t="str">
        <f>IF(AND(OR(Projektgrundlagen!$I$26,Projektgrundlagen!$I$27),'StB-D1 Besondere Lstg'!M163=TRUE),'StB-D1 Besondere Lstg'!I163,"")</f>
        <v/>
      </c>
      <c r="E207" s="800" t="str">
        <f>IF(AND(OR(Projektgrundlagen!$I$26,Projektgrundlagen!$I$27),'StB-D1 Besondere Lstg'!M163=TRUE),'StB-D1 Besondere Lstg'!J163,"")</f>
        <v/>
      </c>
      <c r="F207" s="800" t="str">
        <f>IF(AND(OR(Projektgrundlagen!$I$26,Projektgrundlagen!$I$27),'StB-D1 Besondere Lstg'!M163=TRUE),'StB-D1 Besondere Lstg'!K163,"")</f>
        <v/>
      </c>
      <c r="G207" s="808"/>
      <c r="H207" s="809"/>
    </row>
    <row r="208" spans="2:8" ht="16">
      <c r="B208" t="str">
        <f>IF(AND(OR(Projektgrundlagen!$I$26,Projektgrundlagen!$I$27),'StB-D1 Besondere Lstg'!M164=TRUE),'StB-D1 Besondere Lstg'!C164&amp;" "&amp;'StB-D1 Besondere Lstg'!F164&amp;" "&amp;'StB-D1 Besondere Lstg'!F165,"")</f>
        <v/>
      </c>
      <c r="C208" s="800" t="str">
        <f>IF(AND(OR(Projektgrundlagen!$I$26,Projektgrundlagen!$I$27),'StB-D1 Besondere Lstg'!M164=TRUE),'StB-D1 Besondere Lstg'!H164,"")</f>
        <v/>
      </c>
      <c r="D208" s="800" t="str">
        <f>IF(AND(OR(Projektgrundlagen!$I$26,Projektgrundlagen!$I$27),'StB-D1 Besondere Lstg'!M164=TRUE),'StB-D1 Besondere Lstg'!I164,"")</f>
        <v/>
      </c>
      <c r="E208" s="800" t="str">
        <f>IF(AND(OR(Projektgrundlagen!$I$26,Projektgrundlagen!$I$27),'StB-D1 Besondere Lstg'!M164=TRUE),'StB-D1 Besondere Lstg'!J164,"")</f>
        <v/>
      </c>
      <c r="F208" s="800" t="str">
        <f>IF(AND(OR(Projektgrundlagen!$I$26,Projektgrundlagen!$I$27),'StB-D1 Besondere Lstg'!M164=TRUE),'StB-D1 Besondere Lstg'!K164,"")</f>
        <v/>
      </c>
      <c r="G208" s="808"/>
      <c r="H208" s="809"/>
    </row>
    <row r="209" spans="2:8" ht="16">
      <c r="B209" t="str">
        <f>IF(AND(OR(Projektgrundlagen!$I$26,Projektgrundlagen!$I$27),'StB-D1 Besondere Lstg'!M165=TRUE),'StB-D1 Besondere Lstg'!C165&amp;" "&amp;'StB-D1 Besondere Lstg'!F165&amp;" "&amp;'StB-D1 Besondere Lstg'!F166,"")</f>
        <v/>
      </c>
      <c r="C209" s="800" t="str">
        <f>IF(AND(OR(Projektgrundlagen!$I$26,Projektgrundlagen!$I$27),'StB-D1 Besondere Lstg'!M165=TRUE),'StB-D1 Besondere Lstg'!H165,"")</f>
        <v/>
      </c>
      <c r="D209" s="800" t="str">
        <f>IF(AND(OR(Projektgrundlagen!$I$26,Projektgrundlagen!$I$27),'StB-D1 Besondere Lstg'!M165=TRUE),'StB-D1 Besondere Lstg'!I165,"")</f>
        <v/>
      </c>
      <c r="E209" s="800" t="str">
        <f>IF(AND(OR(Projektgrundlagen!$I$26,Projektgrundlagen!$I$27),'StB-D1 Besondere Lstg'!M165=TRUE),'StB-D1 Besondere Lstg'!J165,"")</f>
        <v/>
      </c>
      <c r="F209" s="800" t="str">
        <f>IF(AND(OR(Projektgrundlagen!$I$26,Projektgrundlagen!$I$27),'StB-D1 Besondere Lstg'!M165=TRUE),'StB-D1 Besondere Lstg'!K165,"")</f>
        <v/>
      </c>
      <c r="G209" s="808"/>
      <c r="H209" s="809"/>
    </row>
    <row r="210" spans="2:8" ht="16">
      <c r="B210" t="str">
        <f>IF(AND(OR(Projektgrundlagen!$I$26,Projektgrundlagen!$I$27),'StB-D1 Besondere Lstg'!M166=TRUE),'StB-D1 Besondere Lstg'!C166&amp;" "&amp;'StB-D1 Besondere Lstg'!F166&amp;" "&amp;'StB-D1 Besondere Lstg'!F167,"")</f>
        <v/>
      </c>
      <c r="C210" s="800" t="str">
        <f>IF(AND(OR(Projektgrundlagen!$I$26,Projektgrundlagen!$I$27),'StB-D1 Besondere Lstg'!M166=TRUE),'StB-D1 Besondere Lstg'!H166,"")</f>
        <v/>
      </c>
      <c r="D210" s="800" t="str">
        <f>IF(AND(OR(Projektgrundlagen!$I$26,Projektgrundlagen!$I$27),'StB-D1 Besondere Lstg'!M166=TRUE),'StB-D1 Besondere Lstg'!I166,"")</f>
        <v/>
      </c>
      <c r="E210" s="800" t="str">
        <f>IF(AND(OR(Projektgrundlagen!$I$26,Projektgrundlagen!$I$27),'StB-D1 Besondere Lstg'!M166=TRUE),'StB-D1 Besondere Lstg'!J166,"")</f>
        <v/>
      </c>
      <c r="F210" s="800" t="str">
        <f>IF(AND(OR(Projektgrundlagen!$I$26,Projektgrundlagen!$I$27),'StB-D1 Besondere Lstg'!M166=TRUE),'StB-D1 Besondere Lstg'!K166,"")</f>
        <v/>
      </c>
      <c r="G210" s="808"/>
      <c r="H210" s="809"/>
    </row>
    <row r="211" spans="2:8" ht="16">
      <c r="B211" t="str">
        <f>IF(AND(OR(Projektgrundlagen!$I$26,Projektgrundlagen!$I$27),'StB-D1 Besondere Lstg'!M167=TRUE),'StB-D1 Besondere Lstg'!C167&amp;" "&amp;'StB-D1 Besondere Lstg'!F167&amp;" "&amp;'StB-D1 Besondere Lstg'!F168,"")</f>
        <v/>
      </c>
      <c r="C211" s="800" t="str">
        <f>IF(AND(OR(Projektgrundlagen!$I$26,Projektgrundlagen!$I$27),'StB-D1 Besondere Lstg'!M167=TRUE),'StB-D1 Besondere Lstg'!H167,"")</f>
        <v/>
      </c>
      <c r="D211" s="800" t="str">
        <f>IF(AND(OR(Projektgrundlagen!$I$26,Projektgrundlagen!$I$27),'StB-D1 Besondere Lstg'!M167=TRUE),'StB-D1 Besondere Lstg'!I167,"")</f>
        <v/>
      </c>
      <c r="E211" s="800" t="str">
        <f>IF(AND(OR(Projektgrundlagen!$I$26,Projektgrundlagen!$I$27),'StB-D1 Besondere Lstg'!M167=TRUE),'StB-D1 Besondere Lstg'!J167,"")</f>
        <v/>
      </c>
      <c r="F211" s="800" t="str">
        <f>IF(AND(OR(Projektgrundlagen!$I$26,Projektgrundlagen!$I$27),'StB-D1 Besondere Lstg'!M167=TRUE),'StB-D1 Besondere Lstg'!K167,"")</f>
        <v/>
      </c>
      <c r="G211" s="808"/>
      <c r="H211" s="809"/>
    </row>
    <row r="212" spans="2:8" ht="16">
      <c r="B212" t="str">
        <f>IF(AND(OR(Projektgrundlagen!$I$26,Projektgrundlagen!$I$27),'StB-D1 Besondere Lstg'!M168=TRUE),'StB-D1 Besondere Lstg'!C168&amp;" "&amp;'StB-D1 Besondere Lstg'!F168&amp;" "&amp;'StB-D1 Besondere Lstg'!F169,"")</f>
        <v/>
      </c>
      <c r="C212" s="800" t="str">
        <f>IF(AND(OR(Projektgrundlagen!$I$26,Projektgrundlagen!$I$27),'StB-D1 Besondere Lstg'!M168=TRUE),'StB-D1 Besondere Lstg'!H168,"")</f>
        <v/>
      </c>
      <c r="D212" s="800" t="str">
        <f>IF(AND(OR(Projektgrundlagen!$I$26,Projektgrundlagen!$I$27),'StB-D1 Besondere Lstg'!M168=TRUE),'StB-D1 Besondere Lstg'!I168,"")</f>
        <v/>
      </c>
      <c r="E212" s="800" t="str">
        <f>IF(AND(OR(Projektgrundlagen!$I$26,Projektgrundlagen!$I$27),'StB-D1 Besondere Lstg'!M168=TRUE),'StB-D1 Besondere Lstg'!J168,"")</f>
        <v/>
      </c>
      <c r="F212" s="800" t="str">
        <f>IF(AND(OR(Projektgrundlagen!$I$26,Projektgrundlagen!$I$27),'StB-D1 Besondere Lstg'!M168=TRUE),'StB-D1 Besondere Lstg'!K168,"")</f>
        <v/>
      </c>
      <c r="G212" s="808"/>
      <c r="H212" s="809"/>
    </row>
    <row r="213" spans="2:8" ht="16">
      <c r="B213" t="str">
        <f>IF(AND(OR(Projektgrundlagen!$I$26,Projektgrundlagen!$I$27),'StB-D1 Besondere Lstg'!M169=TRUE),'StB-D1 Besondere Lstg'!C169&amp;" "&amp;'StB-D1 Besondere Lstg'!F169&amp;" "&amp;'StB-D1 Besondere Lstg'!F170,"")</f>
        <v/>
      </c>
      <c r="C213" s="800" t="str">
        <f>IF(AND(OR(Projektgrundlagen!$I$26,Projektgrundlagen!$I$27),'StB-D1 Besondere Lstg'!M169=TRUE),'StB-D1 Besondere Lstg'!H169,"")</f>
        <v/>
      </c>
      <c r="D213" s="800" t="str">
        <f>IF(AND(OR(Projektgrundlagen!$I$26,Projektgrundlagen!$I$27),'StB-D1 Besondere Lstg'!M169=TRUE),'StB-D1 Besondere Lstg'!I169,"")</f>
        <v/>
      </c>
      <c r="E213" s="800" t="str">
        <f>IF(AND(OR(Projektgrundlagen!$I$26,Projektgrundlagen!$I$27),'StB-D1 Besondere Lstg'!M169=TRUE),'StB-D1 Besondere Lstg'!J169,"")</f>
        <v/>
      </c>
      <c r="F213" s="800" t="str">
        <f>IF(AND(OR(Projektgrundlagen!$I$26,Projektgrundlagen!$I$27),'StB-D1 Besondere Lstg'!M169=TRUE),'StB-D1 Besondere Lstg'!K169,"")</f>
        <v/>
      </c>
      <c r="G213" s="808"/>
      <c r="H213" s="809"/>
    </row>
    <row r="214" spans="2:8" ht="16">
      <c r="B214" t="str">
        <f>IF(AND(OR(Projektgrundlagen!$I$26,Projektgrundlagen!$I$27),'StB-D1 Besondere Lstg'!M170=TRUE),'StB-D1 Besondere Lstg'!C170&amp;" "&amp;'StB-D1 Besondere Lstg'!F170&amp;" "&amp;'StB-D1 Besondere Lstg'!F171,"")</f>
        <v/>
      </c>
      <c r="C214" s="800" t="str">
        <f>IF(AND(OR(Projektgrundlagen!$I$26,Projektgrundlagen!$I$27),'StB-D1 Besondere Lstg'!M170=TRUE),'StB-D1 Besondere Lstg'!H170,"")</f>
        <v/>
      </c>
      <c r="D214" s="800" t="str">
        <f>IF(AND(OR(Projektgrundlagen!$I$26,Projektgrundlagen!$I$27),'StB-D1 Besondere Lstg'!M170=TRUE),'StB-D1 Besondere Lstg'!I170,"")</f>
        <v/>
      </c>
      <c r="E214" s="800" t="str">
        <f>IF(AND(OR(Projektgrundlagen!$I$26,Projektgrundlagen!$I$27),'StB-D1 Besondere Lstg'!M170=TRUE),'StB-D1 Besondere Lstg'!J170,"")</f>
        <v/>
      </c>
      <c r="F214" s="800" t="str">
        <f>IF(AND(OR(Projektgrundlagen!$I$26,Projektgrundlagen!$I$27),'StB-D1 Besondere Lstg'!M170=TRUE),'StB-D1 Besondere Lstg'!K170,"")</f>
        <v/>
      </c>
      <c r="G214" s="808"/>
      <c r="H214" s="809"/>
    </row>
    <row r="215" spans="2:8" ht="16">
      <c r="B215" t="str">
        <f>IF(AND(OR(Projektgrundlagen!$I$26,Projektgrundlagen!$I$27),'StB-D1 Besondere Lstg'!M171=TRUE),'StB-D1 Besondere Lstg'!C171&amp;" "&amp;'StB-D1 Besondere Lstg'!F171&amp;" "&amp;'StB-D1 Besondere Lstg'!F172,"")</f>
        <v/>
      </c>
      <c r="C215" s="800" t="str">
        <f>IF(AND(OR(Projektgrundlagen!$I$26,Projektgrundlagen!$I$27),'StB-D1 Besondere Lstg'!M171=TRUE),'StB-D1 Besondere Lstg'!H171,"")</f>
        <v/>
      </c>
      <c r="D215" s="800" t="str">
        <f>IF(AND(OR(Projektgrundlagen!$I$26,Projektgrundlagen!$I$27),'StB-D1 Besondere Lstg'!M171=TRUE),'StB-D1 Besondere Lstg'!I171,"")</f>
        <v/>
      </c>
      <c r="E215" s="800" t="str">
        <f>IF(AND(OR(Projektgrundlagen!$I$26,Projektgrundlagen!$I$27),'StB-D1 Besondere Lstg'!M171=TRUE),'StB-D1 Besondere Lstg'!J171,"")</f>
        <v/>
      </c>
      <c r="F215" s="800" t="str">
        <f>IF(AND(OR(Projektgrundlagen!$I$26,Projektgrundlagen!$I$27),'StB-D1 Besondere Lstg'!M171=TRUE),'StB-D1 Besondere Lstg'!K171,"")</f>
        <v/>
      </c>
      <c r="G215" s="808"/>
      <c r="H215" s="809"/>
    </row>
    <row r="216" spans="2:8" ht="16">
      <c r="B216" t="str">
        <f>IF(AND(OR(Projektgrundlagen!$I$26,Projektgrundlagen!$I$27),'StB-D1 Besondere Lstg'!M172=TRUE),'StB-D1 Besondere Lstg'!C172&amp;" "&amp;'StB-D1 Besondere Lstg'!F172&amp;" "&amp;'StB-D1 Besondere Lstg'!F173,"")</f>
        <v/>
      </c>
      <c r="C216" s="800" t="str">
        <f>IF(AND(OR(Projektgrundlagen!$I$26,Projektgrundlagen!$I$27),'StB-D1 Besondere Lstg'!M172=TRUE),'StB-D1 Besondere Lstg'!H172,"")</f>
        <v/>
      </c>
      <c r="D216" s="800" t="str">
        <f>IF(AND(OR(Projektgrundlagen!$I$26,Projektgrundlagen!$I$27),'StB-D1 Besondere Lstg'!M172=TRUE),'StB-D1 Besondere Lstg'!I172,"")</f>
        <v/>
      </c>
      <c r="E216" s="800" t="str">
        <f>IF(AND(OR(Projektgrundlagen!$I$26,Projektgrundlagen!$I$27),'StB-D1 Besondere Lstg'!M172=TRUE),'StB-D1 Besondere Lstg'!J172,"")</f>
        <v/>
      </c>
      <c r="F216" s="800" t="str">
        <f>IF(AND(OR(Projektgrundlagen!$I$26,Projektgrundlagen!$I$27),'StB-D1 Besondere Lstg'!M172=TRUE),'StB-D1 Besondere Lstg'!K172,"")</f>
        <v/>
      </c>
      <c r="G216" s="808"/>
      <c r="H216" s="809"/>
    </row>
    <row r="217" spans="2:8" ht="16">
      <c r="B217" t="str">
        <f>IF(AND(OR(Projektgrundlagen!$I$26,Projektgrundlagen!$I$27),'StB-D1 Besondere Lstg'!M173=TRUE),'StB-D1 Besondere Lstg'!C173&amp;" "&amp;'StB-D1 Besondere Lstg'!F173&amp;" "&amp;'StB-D1 Besondere Lstg'!F174,"")</f>
        <v/>
      </c>
      <c r="C217" s="800" t="str">
        <f>IF(AND(OR(Projektgrundlagen!$I$26,Projektgrundlagen!$I$27),'StB-D1 Besondere Lstg'!M173=TRUE),'StB-D1 Besondere Lstg'!H173,"")</f>
        <v/>
      </c>
      <c r="D217" s="800" t="str">
        <f>IF(AND(OR(Projektgrundlagen!$I$26,Projektgrundlagen!$I$27),'StB-D1 Besondere Lstg'!M173=TRUE),'StB-D1 Besondere Lstg'!I173,"")</f>
        <v/>
      </c>
      <c r="E217" s="800" t="str">
        <f>IF(AND(OR(Projektgrundlagen!$I$26,Projektgrundlagen!$I$27),'StB-D1 Besondere Lstg'!M173=TRUE),'StB-D1 Besondere Lstg'!J173,"")</f>
        <v/>
      </c>
      <c r="F217" s="800" t="str">
        <f>IF(AND(OR(Projektgrundlagen!$I$26,Projektgrundlagen!$I$27),'StB-D1 Besondere Lstg'!M173=TRUE),'StB-D1 Besondere Lstg'!K173,"")</f>
        <v/>
      </c>
      <c r="G217" s="808"/>
      <c r="H217" s="809"/>
    </row>
    <row r="218" spans="2:8" ht="16">
      <c r="B218" t="str">
        <f>IF(AND(OR(Projektgrundlagen!$I$26,Projektgrundlagen!$I$27),'StB-D1 Besondere Lstg'!M174=TRUE),'StB-D1 Besondere Lstg'!C174&amp;" "&amp;'StB-D1 Besondere Lstg'!F174&amp;" "&amp;'StB-D1 Besondere Lstg'!F175,"")</f>
        <v/>
      </c>
      <c r="C218" s="800" t="str">
        <f>IF(AND(OR(Projektgrundlagen!$I$26,Projektgrundlagen!$I$27),'StB-D1 Besondere Lstg'!M174=TRUE),'StB-D1 Besondere Lstg'!H174,"")</f>
        <v/>
      </c>
      <c r="D218" s="800" t="str">
        <f>IF(AND(OR(Projektgrundlagen!$I$26,Projektgrundlagen!$I$27),'StB-D1 Besondere Lstg'!M174=TRUE),'StB-D1 Besondere Lstg'!I174,"")</f>
        <v/>
      </c>
      <c r="E218" s="800" t="str">
        <f>IF(AND(OR(Projektgrundlagen!$I$26,Projektgrundlagen!$I$27),'StB-D1 Besondere Lstg'!M174=TRUE),'StB-D1 Besondere Lstg'!J174,"")</f>
        <v/>
      </c>
      <c r="F218" s="800" t="str">
        <f>IF(AND(OR(Projektgrundlagen!$I$26,Projektgrundlagen!$I$27),'StB-D1 Besondere Lstg'!M174=TRUE),'StB-D1 Besondere Lstg'!K174,"")</f>
        <v/>
      </c>
      <c r="G218" s="808"/>
      <c r="H218" s="809"/>
    </row>
    <row r="219" spans="2:8" ht="16">
      <c r="B219" t="str">
        <f>IF(AND(OR(Projektgrundlagen!$I$26,Projektgrundlagen!$I$27),'StB-D1 Besondere Lstg'!M175=TRUE),'StB-D1 Besondere Lstg'!C175&amp;" "&amp;'StB-D1 Besondere Lstg'!F175&amp;" "&amp;'StB-D1 Besondere Lstg'!F176,"")</f>
        <v/>
      </c>
      <c r="C219" s="800" t="str">
        <f>IF(AND(OR(Projektgrundlagen!$I$26,Projektgrundlagen!$I$27),'StB-D1 Besondere Lstg'!M175=TRUE),'StB-D1 Besondere Lstg'!H175,"")</f>
        <v/>
      </c>
      <c r="D219" s="800" t="str">
        <f>IF(AND(OR(Projektgrundlagen!$I$26,Projektgrundlagen!$I$27),'StB-D1 Besondere Lstg'!M175=TRUE),'StB-D1 Besondere Lstg'!I175,"")</f>
        <v/>
      </c>
      <c r="E219" s="800" t="str">
        <f>IF(AND(OR(Projektgrundlagen!$I$26,Projektgrundlagen!$I$27),'StB-D1 Besondere Lstg'!M175=TRUE),'StB-D1 Besondere Lstg'!J175,"")</f>
        <v/>
      </c>
      <c r="F219" s="800" t="str">
        <f>IF(AND(OR(Projektgrundlagen!$I$26,Projektgrundlagen!$I$27),'StB-D1 Besondere Lstg'!M175=TRUE),'StB-D1 Besondere Lstg'!K175,"")</f>
        <v/>
      </c>
      <c r="G219" s="808"/>
      <c r="H219" s="809"/>
    </row>
    <row r="220" spans="2:8" ht="16">
      <c r="B220" t="str">
        <f>IF(AND(OR(Projektgrundlagen!$I$26,Projektgrundlagen!$I$27),'StB-D1 Besondere Lstg'!M176=TRUE),'StB-D1 Besondere Lstg'!C176&amp;" "&amp;'StB-D1 Besondere Lstg'!F176&amp;" "&amp;'StB-D1 Besondere Lstg'!F177,"")</f>
        <v/>
      </c>
      <c r="C220" s="800" t="str">
        <f>IF(AND(OR(Projektgrundlagen!$I$26,Projektgrundlagen!$I$27),'StB-D1 Besondere Lstg'!M176=TRUE),'StB-D1 Besondere Lstg'!H176,"")</f>
        <v/>
      </c>
      <c r="D220" s="800" t="str">
        <f>IF(AND(OR(Projektgrundlagen!$I$26,Projektgrundlagen!$I$27),'StB-D1 Besondere Lstg'!M176=TRUE),'StB-D1 Besondere Lstg'!I176,"")</f>
        <v/>
      </c>
      <c r="E220" s="800" t="str">
        <f>IF(AND(OR(Projektgrundlagen!$I$26,Projektgrundlagen!$I$27),'StB-D1 Besondere Lstg'!M176=TRUE),'StB-D1 Besondere Lstg'!J176,"")</f>
        <v/>
      </c>
      <c r="F220" s="800" t="str">
        <f>IF(AND(OR(Projektgrundlagen!$I$26,Projektgrundlagen!$I$27),'StB-D1 Besondere Lstg'!M176=TRUE),'StB-D1 Besondere Lstg'!K176,"")</f>
        <v/>
      </c>
      <c r="G220" s="808"/>
      <c r="H220" s="809"/>
    </row>
    <row r="221" spans="2:8" ht="16">
      <c r="B221" t="str">
        <f>IF(AND(OR(Projektgrundlagen!$I$26,Projektgrundlagen!$I$27),'StB-D1 Besondere Lstg'!M177=TRUE),'StB-D1 Besondere Lstg'!C177&amp;" "&amp;'StB-D1 Besondere Lstg'!F177&amp;" "&amp;'StB-D1 Besondere Lstg'!F178,"")</f>
        <v/>
      </c>
      <c r="C221" s="800" t="str">
        <f>IF(AND(OR(Projektgrundlagen!$I$26,Projektgrundlagen!$I$27),'StB-D1 Besondere Lstg'!M177=TRUE),'StB-D1 Besondere Lstg'!H177,"")</f>
        <v/>
      </c>
      <c r="D221" s="800" t="str">
        <f>IF(AND(OR(Projektgrundlagen!$I$26,Projektgrundlagen!$I$27),'StB-D1 Besondere Lstg'!M177=TRUE),'StB-D1 Besondere Lstg'!I177,"")</f>
        <v/>
      </c>
      <c r="E221" s="800" t="str">
        <f>IF(AND(OR(Projektgrundlagen!$I$26,Projektgrundlagen!$I$27),'StB-D1 Besondere Lstg'!M177=TRUE),'StB-D1 Besondere Lstg'!J177,"")</f>
        <v/>
      </c>
      <c r="F221" s="800" t="str">
        <f>IF(AND(OR(Projektgrundlagen!$I$26,Projektgrundlagen!$I$27),'StB-D1 Besondere Lstg'!M177=TRUE),'StB-D1 Besondere Lstg'!K177,"")</f>
        <v/>
      </c>
      <c r="G221" s="808"/>
      <c r="H221" s="809"/>
    </row>
    <row r="222" spans="2:8" ht="16">
      <c r="B222" t="str">
        <f>IF(AND(OR(Projektgrundlagen!$I$26,Projektgrundlagen!$I$27),'StB-D1 Besondere Lstg'!M178=TRUE),'StB-D1 Besondere Lstg'!C178&amp;" "&amp;'StB-D1 Besondere Lstg'!F178&amp;" "&amp;'StB-D1 Besondere Lstg'!F179,"")</f>
        <v/>
      </c>
      <c r="C222" s="800" t="str">
        <f>IF(AND(OR(Projektgrundlagen!$I$26,Projektgrundlagen!$I$27),'StB-D1 Besondere Lstg'!M178=TRUE),'StB-D1 Besondere Lstg'!H178,"")</f>
        <v/>
      </c>
      <c r="D222" s="800" t="str">
        <f>IF(AND(OR(Projektgrundlagen!$I$26,Projektgrundlagen!$I$27),'StB-D1 Besondere Lstg'!M178=TRUE),'StB-D1 Besondere Lstg'!I178,"")</f>
        <v/>
      </c>
      <c r="E222" s="800" t="str">
        <f>IF(AND(OR(Projektgrundlagen!$I$26,Projektgrundlagen!$I$27),'StB-D1 Besondere Lstg'!M178=TRUE),'StB-D1 Besondere Lstg'!J178,"")</f>
        <v/>
      </c>
      <c r="F222" s="800" t="str">
        <f>IF(AND(OR(Projektgrundlagen!$I$26,Projektgrundlagen!$I$27),'StB-D1 Besondere Lstg'!M178=TRUE),'StB-D1 Besondere Lstg'!K178,"")</f>
        <v/>
      </c>
      <c r="G222" s="808"/>
      <c r="H222" s="809"/>
    </row>
    <row r="223" spans="2:8" ht="16">
      <c r="B223" t="str">
        <f>IF(AND(OR(Projektgrundlagen!$I$26,Projektgrundlagen!$I$27),'StB-D1 Besondere Lstg'!M179=TRUE),'StB-D1 Besondere Lstg'!C179&amp;" "&amp;'StB-D1 Besondere Lstg'!F179&amp;" "&amp;'StB-D1 Besondere Lstg'!F180,"")</f>
        <v/>
      </c>
      <c r="C223" s="800" t="str">
        <f>IF(AND(OR(Projektgrundlagen!$I$26,Projektgrundlagen!$I$27),'StB-D1 Besondere Lstg'!M179=TRUE),'StB-D1 Besondere Lstg'!H179,"")</f>
        <v/>
      </c>
      <c r="D223" s="800" t="str">
        <f>IF(AND(OR(Projektgrundlagen!$I$26,Projektgrundlagen!$I$27),'StB-D1 Besondere Lstg'!M179=TRUE),'StB-D1 Besondere Lstg'!I179,"")</f>
        <v/>
      </c>
      <c r="E223" s="800" t="str">
        <f>IF(AND(OR(Projektgrundlagen!$I$26,Projektgrundlagen!$I$27),'StB-D1 Besondere Lstg'!M179=TRUE),'StB-D1 Besondere Lstg'!J179,"")</f>
        <v/>
      </c>
      <c r="F223" s="800" t="str">
        <f>IF(AND(OR(Projektgrundlagen!$I$26,Projektgrundlagen!$I$27),'StB-D1 Besondere Lstg'!M179=TRUE),'StB-D1 Besondere Lstg'!K179,"")</f>
        <v/>
      </c>
      <c r="G223" s="808"/>
      <c r="H223" s="809"/>
    </row>
    <row r="224" spans="2:8" ht="16">
      <c r="B224" t="str">
        <f>IF(AND(OR(Projektgrundlagen!$I$26,Projektgrundlagen!$I$27),'StB-D1 Besondere Lstg'!M180=TRUE),'StB-D1 Besondere Lstg'!C180&amp;" "&amp;'StB-D1 Besondere Lstg'!F180&amp;" "&amp;'StB-D1 Besondere Lstg'!F181,"")</f>
        <v/>
      </c>
      <c r="C224" s="800" t="str">
        <f>IF(AND(OR(Projektgrundlagen!$I$26,Projektgrundlagen!$I$27),'StB-D1 Besondere Lstg'!M180=TRUE),'StB-D1 Besondere Lstg'!H180,"")</f>
        <v/>
      </c>
      <c r="D224" s="800" t="str">
        <f>IF(AND(OR(Projektgrundlagen!$I$26,Projektgrundlagen!$I$27),'StB-D1 Besondere Lstg'!M180=TRUE),'StB-D1 Besondere Lstg'!I180,"")</f>
        <v/>
      </c>
      <c r="E224" s="800" t="str">
        <f>IF(AND(OR(Projektgrundlagen!$I$26,Projektgrundlagen!$I$27),'StB-D1 Besondere Lstg'!M180=TRUE),'StB-D1 Besondere Lstg'!J180,"")</f>
        <v/>
      </c>
      <c r="F224" s="800" t="str">
        <f>IF(AND(OR(Projektgrundlagen!$I$26,Projektgrundlagen!$I$27),'StB-D1 Besondere Lstg'!M180=TRUE),'StB-D1 Besondere Lstg'!K180,"")</f>
        <v/>
      </c>
      <c r="G224" s="808"/>
      <c r="H224" s="809"/>
    </row>
    <row r="225" spans="2:8" ht="16">
      <c r="B225" t="str">
        <f>IF(AND(OR(Projektgrundlagen!$I$26,Projektgrundlagen!$I$27),'StB-D1 Besondere Lstg'!M181=TRUE),'StB-D1 Besondere Lstg'!C181&amp;" "&amp;'StB-D1 Besondere Lstg'!F181&amp;" "&amp;'StB-D1 Besondere Lstg'!F182,"")</f>
        <v/>
      </c>
      <c r="C225" s="800" t="str">
        <f>IF(AND(OR(Projektgrundlagen!$I$26,Projektgrundlagen!$I$27),'StB-D1 Besondere Lstg'!M181=TRUE),'StB-D1 Besondere Lstg'!H181,"")</f>
        <v/>
      </c>
      <c r="D225" s="800" t="str">
        <f>IF(AND(OR(Projektgrundlagen!$I$26,Projektgrundlagen!$I$27),'StB-D1 Besondere Lstg'!M181=TRUE),'StB-D1 Besondere Lstg'!I181,"")</f>
        <v/>
      </c>
      <c r="E225" s="800" t="str">
        <f>IF(AND(OR(Projektgrundlagen!$I$26,Projektgrundlagen!$I$27),'StB-D1 Besondere Lstg'!M181=TRUE),'StB-D1 Besondere Lstg'!J181,"")</f>
        <v/>
      </c>
      <c r="F225" s="800" t="str">
        <f>IF(AND(OR(Projektgrundlagen!$I$26,Projektgrundlagen!$I$27),'StB-D1 Besondere Lstg'!M181=TRUE),'StB-D1 Besondere Lstg'!K181,"")</f>
        <v/>
      </c>
      <c r="G225" s="808"/>
      <c r="H225" s="809"/>
    </row>
    <row r="226" spans="2:8" ht="16">
      <c r="B226" t="str">
        <f>IF(AND(OR(Projektgrundlagen!$I$26,Projektgrundlagen!$I$27),'StB-D1 Besondere Lstg'!M182=TRUE),'StB-D1 Besondere Lstg'!C182&amp;" "&amp;'StB-D1 Besondere Lstg'!F182&amp;" "&amp;'StB-D1 Besondere Lstg'!F183,"")</f>
        <v/>
      </c>
      <c r="C226" s="800" t="str">
        <f>IF(AND(OR(Projektgrundlagen!$I$26,Projektgrundlagen!$I$27),'StB-D1 Besondere Lstg'!M182=TRUE),'StB-D1 Besondere Lstg'!H182,"")</f>
        <v/>
      </c>
      <c r="D226" s="800" t="str">
        <f>IF(AND(OR(Projektgrundlagen!$I$26,Projektgrundlagen!$I$27),'StB-D1 Besondere Lstg'!M182=TRUE),'StB-D1 Besondere Lstg'!I182,"")</f>
        <v/>
      </c>
      <c r="E226" s="800" t="str">
        <f>IF(AND(OR(Projektgrundlagen!$I$26,Projektgrundlagen!$I$27),'StB-D1 Besondere Lstg'!M182=TRUE),'StB-D1 Besondere Lstg'!J182,"")</f>
        <v/>
      </c>
      <c r="F226" s="800" t="str">
        <f>IF(AND(OR(Projektgrundlagen!$I$26,Projektgrundlagen!$I$27),'StB-D1 Besondere Lstg'!M182=TRUE),'StB-D1 Besondere Lstg'!K182,"")</f>
        <v/>
      </c>
      <c r="G226" s="808"/>
      <c r="H226" s="809"/>
    </row>
    <row r="227" spans="2:8" ht="16">
      <c r="B227" t="str">
        <f>IF(AND(OR(Projektgrundlagen!$I$26,Projektgrundlagen!$I$27),'StB-D1 Besondere Lstg'!M183=TRUE),'StB-D1 Besondere Lstg'!C183&amp;" "&amp;'StB-D1 Besondere Lstg'!F183&amp;" "&amp;'StB-D1 Besondere Lstg'!F184,"")</f>
        <v/>
      </c>
      <c r="C227" s="800" t="str">
        <f>IF(AND(OR(Projektgrundlagen!$I$26,Projektgrundlagen!$I$27),'StB-D1 Besondere Lstg'!M183=TRUE),'StB-D1 Besondere Lstg'!H183,"")</f>
        <v/>
      </c>
      <c r="D227" s="800" t="str">
        <f>IF(AND(OR(Projektgrundlagen!$I$26,Projektgrundlagen!$I$27),'StB-D1 Besondere Lstg'!M183=TRUE),'StB-D1 Besondere Lstg'!I183,"")</f>
        <v/>
      </c>
      <c r="E227" s="800" t="str">
        <f>IF(AND(OR(Projektgrundlagen!$I$26,Projektgrundlagen!$I$27),'StB-D1 Besondere Lstg'!M183=TRUE),'StB-D1 Besondere Lstg'!J183,"")</f>
        <v/>
      </c>
      <c r="F227" s="800" t="str">
        <f>IF(AND(OR(Projektgrundlagen!$I$26,Projektgrundlagen!$I$27),'StB-D1 Besondere Lstg'!M183=TRUE),'StB-D1 Besondere Lstg'!K183,"")</f>
        <v/>
      </c>
      <c r="G227" s="808"/>
      <c r="H227" s="809"/>
    </row>
    <row r="228" spans="2:8" ht="16">
      <c r="B228" t="str">
        <f>IF(AND(OR(Projektgrundlagen!$I$26,Projektgrundlagen!$I$27),'StB-D1 Besondere Lstg'!M184=TRUE),'StB-D1 Besondere Lstg'!C184&amp;" "&amp;'StB-D1 Besondere Lstg'!F184&amp;" "&amp;'StB-D1 Besondere Lstg'!F185,"")</f>
        <v/>
      </c>
      <c r="C228" s="800" t="str">
        <f>IF(AND(OR(Projektgrundlagen!$I$26,Projektgrundlagen!$I$27),'StB-D1 Besondere Lstg'!M184=TRUE),'StB-D1 Besondere Lstg'!H184,"")</f>
        <v/>
      </c>
      <c r="D228" s="800" t="str">
        <f>IF(AND(OR(Projektgrundlagen!$I$26,Projektgrundlagen!$I$27),'StB-D1 Besondere Lstg'!M184=TRUE),'StB-D1 Besondere Lstg'!I184,"")</f>
        <v/>
      </c>
      <c r="E228" s="800" t="str">
        <f>IF(AND(OR(Projektgrundlagen!$I$26,Projektgrundlagen!$I$27),'StB-D1 Besondere Lstg'!M184=TRUE),'StB-D1 Besondere Lstg'!J184,"")</f>
        <v/>
      </c>
      <c r="F228" s="800" t="str">
        <f>IF(AND(OR(Projektgrundlagen!$I$26,Projektgrundlagen!$I$27),'StB-D1 Besondere Lstg'!M184=TRUE),'StB-D1 Besondere Lstg'!K184,"")</f>
        <v/>
      </c>
      <c r="G228" s="808"/>
      <c r="H228" s="809"/>
    </row>
    <row r="229" spans="2:8" ht="16">
      <c r="B229" t="str">
        <f>IF(AND(OR(Projektgrundlagen!$I$26,Projektgrundlagen!$I$27),'StB-D1 Besondere Lstg'!M185=TRUE),'StB-D1 Besondere Lstg'!C185&amp;" "&amp;'StB-D1 Besondere Lstg'!F185&amp;" "&amp;'StB-D1 Besondere Lstg'!F186,"")</f>
        <v/>
      </c>
      <c r="C229" s="800" t="str">
        <f>IF(AND(OR(Projektgrundlagen!$I$26,Projektgrundlagen!$I$27),'StB-D1 Besondere Lstg'!M185=TRUE),'StB-D1 Besondere Lstg'!H185,"")</f>
        <v/>
      </c>
      <c r="D229" s="800" t="str">
        <f>IF(AND(OR(Projektgrundlagen!$I$26,Projektgrundlagen!$I$27),'StB-D1 Besondere Lstg'!M185=TRUE),'StB-D1 Besondere Lstg'!I185,"")</f>
        <v/>
      </c>
      <c r="E229" s="800" t="str">
        <f>IF(AND(OR(Projektgrundlagen!$I$26,Projektgrundlagen!$I$27),'StB-D1 Besondere Lstg'!M185=TRUE),'StB-D1 Besondere Lstg'!J185,"")</f>
        <v/>
      </c>
      <c r="F229" s="800" t="str">
        <f>IF(AND(OR(Projektgrundlagen!$I$26,Projektgrundlagen!$I$27),'StB-D1 Besondere Lstg'!M185=TRUE),'StB-D1 Besondere Lstg'!K185,"")</f>
        <v/>
      </c>
      <c r="G229" s="808"/>
      <c r="H229" s="809"/>
    </row>
    <row r="230" spans="2:8" ht="16">
      <c r="B230" t="str">
        <f>IF(AND(OR(Projektgrundlagen!$I$26,Projektgrundlagen!$I$27),'StB-D1 Besondere Lstg'!M186=TRUE),'StB-D1 Besondere Lstg'!C186&amp;" "&amp;'StB-D1 Besondere Lstg'!F186&amp;" "&amp;'StB-D1 Besondere Lstg'!F187,"")</f>
        <v/>
      </c>
      <c r="C230" s="800" t="str">
        <f>IF(AND(OR(Projektgrundlagen!$I$26,Projektgrundlagen!$I$27),'StB-D1 Besondere Lstg'!M186=TRUE),'StB-D1 Besondere Lstg'!H186,"")</f>
        <v/>
      </c>
      <c r="D230" s="800" t="str">
        <f>IF(AND(OR(Projektgrundlagen!$I$26,Projektgrundlagen!$I$27),'StB-D1 Besondere Lstg'!M186=TRUE),'StB-D1 Besondere Lstg'!I186,"")</f>
        <v/>
      </c>
      <c r="E230" s="800" t="str">
        <f>IF(AND(OR(Projektgrundlagen!$I$26,Projektgrundlagen!$I$27),'StB-D1 Besondere Lstg'!M186=TRUE),'StB-D1 Besondere Lstg'!J186,"")</f>
        <v/>
      </c>
      <c r="F230" s="800" t="str">
        <f>IF(AND(OR(Projektgrundlagen!$I$26,Projektgrundlagen!$I$27),'StB-D1 Besondere Lstg'!M186=TRUE),'StB-D1 Besondere Lstg'!K186,"")</f>
        <v/>
      </c>
      <c r="G230" s="808"/>
      <c r="H230" s="809"/>
    </row>
    <row r="231" spans="2:8" ht="16">
      <c r="B231" t="str">
        <f>IF(AND(OR(Projektgrundlagen!$I$26,Projektgrundlagen!$I$27),'StB-D1 Besondere Lstg'!M187=TRUE),'StB-D1 Besondere Lstg'!C187&amp;" "&amp;'StB-D1 Besondere Lstg'!F187&amp;" "&amp;'StB-D1 Besondere Lstg'!F188,"")</f>
        <v/>
      </c>
      <c r="C231" s="800" t="str">
        <f>IF(AND(OR(Projektgrundlagen!$I$26,Projektgrundlagen!$I$27),'StB-D1 Besondere Lstg'!M187=TRUE),'StB-D1 Besondere Lstg'!H187,"")</f>
        <v/>
      </c>
      <c r="D231" s="800" t="str">
        <f>IF(AND(OR(Projektgrundlagen!$I$26,Projektgrundlagen!$I$27),'StB-D1 Besondere Lstg'!M187=TRUE),'StB-D1 Besondere Lstg'!I187,"")</f>
        <v/>
      </c>
      <c r="E231" s="800" t="str">
        <f>IF(AND(OR(Projektgrundlagen!$I$26,Projektgrundlagen!$I$27),'StB-D1 Besondere Lstg'!M187=TRUE),'StB-D1 Besondere Lstg'!J187,"")</f>
        <v/>
      </c>
      <c r="F231" s="800" t="str">
        <f>IF(AND(OR(Projektgrundlagen!$I$26,Projektgrundlagen!$I$27),'StB-D1 Besondere Lstg'!M187=TRUE),'StB-D1 Besondere Lstg'!K187,"")</f>
        <v/>
      </c>
      <c r="G231" s="808"/>
      <c r="H231" s="809"/>
    </row>
    <row r="232" spans="2:8" ht="16">
      <c r="B232" t="str">
        <f>IF(AND(OR(Projektgrundlagen!$I$26,Projektgrundlagen!$I$27),'StB-D1 Besondere Lstg'!M188=TRUE),'StB-D1 Besondere Lstg'!C188&amp;" "&amp;'StB-D1 Besondere Lstg'!F188&amp;" "&amp;'StB-D1 Besondere Lstg'!F189,"")</f>
        <v/>
      </c>
      <c r="C232" s="800" t="str">
        <f>IF(AND(OR(Projektgrundlagen!$I$26,Projektgrundlagen!$I$27),'StB-D1 Besondere Lstg'!M188=TRUE),'StB-D1 Besondere Lstg'!H188,"")</f>
        <v/>
      </c>
      <c r="D232" s="800" t="str">
        <f>IF(AND(OR(Projektgrundlagen!$I$26,Projektgrundlagen!$I$27),'StB-D1 Besondere Lstg'!M188=TRUE),'StB-D1 Besondere Lstg'!I188,"")</f>
        <v/>
      </c>
      <c r="E232" s="800" t="str">
        <f>IF(AND(OR(Projektgrundlagen!$I$26,Projektgrundlagen!$I$27),'StB-D1 Besondere Lstg'!M188=TRUE),'StB-D1 Besondere Lstg'!J188,"")</f>
        <v/>
      </c>
      <c r="F232" s="800" t="str">
        <f>IF(AND(OR(Projektgrundlagen!$I$26,Projektgrundlagen!$I$27),'StB-D1 Besondere Lstg'!M188=TRUE),'StB-D1 Besondere Lstg'!K188,"")</f>
        <v/>
      </c>
      <c r="G232" s="808"/>
      <c r="H232" s="809"/>
    </row>
    <row r="233" spans="2:8" ht="16">
      <c r="B233" t="str">
        <f>IF(AND(OR(Projektgrundlagen!$I$26,Projektgrundlagen!$I$27),'StB-D1 Besondere Lstg'!M189=TRUE),'StB-D1 Besondere Lstg'!C189&amp;" "&amp;'StB-D1 Besondere Lstg'!F189&amp;" "&amp;'StB-D1 Besondere Lstg'!F190,"")</f>
        <v/>
      </c>
      <c r="C233" s="800" t="str">
        <f>IF(AND(OR(Projektgrundlagen!$I$26,Projektgrundlagen!$I$27),'StB-D1 Besondere Lstg'!M189=TRUE),'StB-D1 Besondere Lstg'!H189,"")</f>
        <v/>
      </c>
      <c r="D233" s="800" t="str">
        <f>IF(AND(OR(Projektgrundlagen!$I$26,Projektgrundlagen!$I$27),'StB-D1 Besondere Lstg'!M189=TRUE),'StB-D1 Besondere Lstg'!I189,"")</f>
        <v/>
      </c>
      <c r="E233" s="800" t="str">
        <f>IF(AND(OR(Projektgrundlagen!$I$26,Projektgrundlagen!$I$27),'StB-D1 Besondere Lstg'!M189=TRUE),'StB-D1 Besondere Lstg'!J189,"")</f>
        <v/>
      </c>
      <c r="F233" s="800" t="str">
        <f>IF(AND(OR(Projektgrundlagen!$I$26,Projektgrundlagen!$I$27),'StB-D1 Besondere Lstg'!M189=TRUE),'StB-D1 Besondere Lstg'!K189,"")</f>
        <v/>
      </c>
      <c r="G233" s="808"/>
      <c r="H233" s="809"/>
    </row>
    <row r="234" spans="2:8" ht="16">
      <c r="B234" t="str">
        <f>IF(AND(OR(Projektgrundlagen!$I$26,Projektgrundlagen!$I$27),'StB-D1 Besondere Lstg'!M190=TRUE),'StB-D1 Besondere Lstg'!C190&amp;" "&amp;'StB-D1 Besondere Lstg'!F190&amp;" "&amp;'StB-D1 Besondere Lstg'!F191,"")</f>
        <v/>
      </c>
      <c r="C234" s="800" t="str">
        <f>IF(AND(OR(Projektgrundlagen!$I$26,Projektgrundlagen!$I$27),'StB-D1 Besondere Lstg'!M190=TRUE),'StB-D1 Besondere Lstg'!H190,"")</f>
        <v/>
      </c>
      <c r="D234" s="800" t="str">
        <f>IF(AND(OR(Projektgrundlagen!$I$26,Projektgrundlagen!$I$27),'StB-D1 Besondere Lstg'!M190=TRUE),'StB-D1 Besondere Lstg'!I190,"")</f>
        <v/>
      </c>
      <c r="E234" s="800" t="str">
        <f>IF(AND(OR(Projektgrundlagen!$I$26,Projektgrundlagen!$I$27),'StB-D1 Besondere Lstg'!M190=TRUE),'StB-D1 Besondere Lstg'!J190,"")</f>
        <v/>
      </c>
      <c r="F234" s="800" t="str">
        <f>IF(AND(OR(Projektgrundlagen!$I$26,Projektgrundlagen!$I$27),'StB-D1 Besondere Lstg'!M190=TRUE),'StB-D1 Besondere Lstg'!K190,"")</f>
        <v/>
      </c>
      <c r="G234" s="808"/>
      <c r="H234" s="809"/>
    </row>
    <row r="235" spans="2:8" ht="16">
      <c r="B235" t="str">
        <f>IF(AND(OR(Projektgrundlagen!$I$26,Projektgrundlagen!$I$27),'StB-D1 Besondere Lstg'!M191=TRUE),'StB-D1 Besondere Lstg'!C191&amp;" "&amp;'StB-D1 Besondere Lstg'!F191&amp;" "&amp;'StB-D1 Besondere Lstg'!F192,"")</f>
        <v/>
      </c>
      <c r="C235" s="800" t="str">
        <f>IF(AND(OR(Projektgrundlagen!$I$26,Projektgrundlagen!$I$27),'StB-D1 Besondere Lstg'!M191=TRUE),'StB-D1 Besondere Lstg'!H191,"")</f>
        <v/>
      </c>
      <c r="D235" s="800" t="str">
        <f>IF(AND(OR(Projektgrundlagen!$I$26,Projektgrundlagen!$I$27),'StB-D1 Besondere Lstg'!M191=TRUE),'StB-D1 Besondere Lstg'!I191,"")</f>
        <v/>
      </c>
      <c r="E235" s="800" t="str">
        <f>IF(AND(OR(Projektgrundlagen!$I$26,Projektgrundlagen!$I$27),'StB-D1 Besondere Lstg'!M191=TRUE),'StB-D1 Besondere Lstg'!J191,"")</f>
        <v/>
      </c>
      <c r="F235" s="800" t="str">
        <f>IF(AND(OR(Projektgrundlagen!$I$26,Projektgrundlagen!$I$27),'StB-D1 Besondere Lstg'!M191=TRUE),'StB-D1 Besondere Lstg'!K191,"")</f>
        <v/>
      </c>
      <c r="G235" s="808"/>
      <c r="H235" s="809"/>
    </row>
    <row r="236" spans="2:8" ht="16">
      <c r="B236" t="str">
        <f>IF(AND(OR(Projektgrundlagen!$I$26,Projektgrundlagen!$I$27),'StB-D1 Besondere Lstg'!M192=TRUE),'StB-D1 Besondere Lstg'!C192&amp;" "&amp;'StB-D1 Besondere Lstg'!F192&amp;" "&amp;'StB-D1 Besondere Lstg'!F193,"")</f>
        <v/>
      </c>
      <c r="C236" s="800" t="str">
        <f>IF(AND(OR(Projektgrundlagen!$I$26,Projektgrundlagen!$I$27),'StB-D1 Besondere Lstg'!M192=TRUE),'StB-D1 Besondere Lstg'!H192,"")</f>
        <v/>
      </c>
      <c r="D236" s="800" t="str">
        <f>IF(AND(OR(Projektgrundlagen!$I$26,Projektgrundlagen!$I$27),'StB-D1 Besondere Lstg'!M192=TRUE),'StB-D1 Besondere Lstg'!I192,"")</f>
        <v/>
      </c>
      <c r="E236" s="800" t="str">
        <f>IF(AND(OR(Projektgrundlagen!$I$26,Projektgrundlagen!$I$27),'StB-D1 Besondere Lstg'!M192=TRUE),'StB-D1 Besondere Lstg'!J192,"")</f>
        <v/>
      </c>
      <c r="F236" s="800" t="str">
        <f>IF(AND(OR(Projektgrundlagen!$I$26,Projektgrundlagen!$I$27),'StB-D1 Besondere Lstg'!M192=TRUE),'StB-D1 Besondere Lstg'!K192,"")</f>
        <v/>
      </c>
      <c r="G236" s="808"/>
      <c r="H236" s="809"/>
    </row>
    <row r="237" spans="2:8" ht="16">
      <c r="B237" t="str">
        <f>IF(AND(OR(Projektgrundlagen!$I$26,Projektgrundlagen!$I$27),'StB-D1 Besondere Lstg'!M193=TRUE),'StB-D1 Besondere Lstg'!C193&amp;" "&amp;'StB-D1 Besondere Lstg'!F193&amp;" "&amp;'StB-D1 Besondere Lstg'!F194,"")</f>
        <v/>
      </c>
      <c r="C237" s="800" t="str">
        <f>IF(AND(OR(Projektgrundlagen!$I$26,Projektgrundlagen!$I$27),'StB-D1 Besondere Lstg'!M193=TRUE),'StB-D1 Besondere Lstg'!H193,"")</f>
        <v/>
      </c>
      <c r="D237" s="800" t="str">
        <f>IF(AND(OR(Projektgrundlagen!$I$26,Projektgrundlagen!$I$27),'StB-D1 Besondere Lstg'!M193=TRUE),'StB-D1 Besondere Lstg'!I193,"")</f>
        <v/>
      </c>
      <c r="E237" s="800" t="str">
        <f>IF(AND(OR(Projektgrundlagen!$I$26,Projektgrundlagen!$I$27),'StB-D1 Besondere Lstg'!M193=TRUE),'StB-D1 Besondere Lstg'!J193,"")</f>
        <v/>
      </c>
      <c r="F237" s="800" t="str">
        <f>IF(AND(OR(Projektgrundlagen!$I$26,Projektgrundlagen!$I$27),'StB-D1 Besondere Lstg'!M193=TRUE),'StB-D1 Besondere Lstg'!K193,"")</f>
        <v/>
      </c>
      <c r="G237" s="808"/>
      <c r="H237" s="809"/>
    </row>
    <row r="238" spans="2:8" ht="16">
      <c r="B238" t="str">
        <f>IF(AND(OR(Projektgrundlagen!$I$26,Projektgrundlagen!$I$27),'StB-D1 Besondere Lstg'!M194=TRUE),'StB-D1 Besondere Lstg'!C194&amp;" "&amp;'StB-D1 Besondere Lstg'!F194&amp;" "&amp;'StB-D1 Besondere Lstg'!F195,"")</f>
        <v/>
      </c>
      <c r="C238" s="800" t="str">
        <f>IF(AND(OR(Projektgrundlagen!$I$26,Projektgrundlagen!$I$27),'StB-D1 Besondere Lstg'!M194=TRUE),'StB-D1 Besondere Lstg'!H194,"")</f>
        <v/>
      </c>
      <c r="D238" s="800" t="str">
        <f>IF(AND(OR(Projektgrundlagen!$I$26,Projektgrundlagen!$I$27),'StB-D1 Besondere Lstg'!M194=TRUE),'StB-D1 Besondere Lstg'!I194,"")</f>
        <v/>
      </c>
      <c r="E238" s="800" t="str">
        <f>IF(AND(OR(Projektgrundlagen!$I$26,Projektgrundlagen!$I$27),'StB-D1 Besondere Lstg'!M194=TRUE),'StB-D1 Besondere Lstg'!J194,"")</f>
        <v/>
      </c>
      <c r="F238" s="800" t="str">
        <f>IF(AND(OR(Projektgrundlagen!$I$26,Projektgrundlagen!$I$27),'StB-D1 Besondere Lstg'!M194=TRUE),'StB-D1 Besondere Lstg'!K194,"")</f>
        <v/>
      </c>
      <c r="G238" s="808"/>
      <c r="H238" s="809"/>
    </row>
    <row r="239" spans="2:8" ht="16">
      <c r="B239" t="str">
        <f>IF(AND(OR(Projektgrundlagen!$I$26,Projektgrundlagen!$I$27),'StB-D1 Besondere Lstg'!M195=TRUE),'StB-D1 Besondere Lstg'!C195&amp;" "&amp;'StB-D1 Besondere Lstg'!F195&amp;" "&amp;'StB-D1 Besondere Lstg'!F196,"")</f>
        <v/>
      </c>
      <c r="C239" s="800" t="str">
        <f>IF(AND(OR(Projektgrundlagen!$I$26,Projektgrundlagen!$I$27),'StB-D1 Besondere Lstg'!M195=TRUE),'StB-D1 Besondere Lstg'!H195,"")</f>
        <v/>
      </c>
      <c r="D239" s="800" t="str">
        <f>IF(AND(OR(Projektgrundlagen!$I$26,Projektgrundlagen!$I$27),'StB-D1 Besondere Lstg'!M195=TRUE),'StB-D1 Besondere Lstg'!I195,"")</f>
        <v/>
      </c>
      <c r="E239" s="800" t="str">
        <f>IF(AND(OR(Projektgrundlagen!$I$26,Projektgrundlagen!$I$27),'StB-D1 Besondere Lstg'!M195=TRUE),'StB-D1 Besondere Lstg'!J195,"")</f>
        <v/>
      </c>
      <c r="F239" s="800" t="str">
        <f>IF(AND(OR(Projektgrundlagen!$I$26,Projektgrundlagen!$I$27),'StB-D1 Besondere Lstg'!M195=TRUE),'StB-D1 Besondere Lstg'!K195,"")</f>
        <v/>
      </c>
      <c r="G239" s="808"/>
      <c r="H239" s="809"/>
    </row>
    <row r="240" spans="2:8" ht="16">
      <c r="B240" t="str">
        <f>IF(AND(OR(Projektgrundlagen!$I$26,Projektgrundlagen!$I$27),'StB-D1 Besondere Lstg'!M196=TRUE),'StB-D1 Besondere Lstg'!C196&amp;" "&amp;'StB-D1 Besondere Lstg'!F196&amp;" "&amp;'StB-D1 Besondere Lstg'!F197,"")</f>
        <v/>
      </c>
      <c r="C240" s="800" t="str">
        <f>IF(AND(OR(Projektgrundlagen!$I$26,Projektgrundlagen!$I$27),'StB-D1 Besondere Lstg'!M196=TRUE),'StB-D1 Besondere Lstg'!H196,"")</f>
        <v/>
      </c>
      <c r="D240" s="800" t="str">
        <f>IF(AND(OR(Projektgrundlagen!$I$26,Projektgrundlagen!$I$27),'StB-D1 Besondere Lstg'!M196=TRUE),'StB-D1 Besondere Lstg'!I196,"")</f>
        <v/>
      </c>
      <c r="E240" s="800" t="str">
        <f>IF(AND(OR(Projektgrundlagen!$I$26,Projektgrundlagen!$I$27),'StB-D1 Besondere Lstg'!M196=TRUE),'StB-D1 Besondere Lstg'!J196,"")</f>
        <v/>
      </c>
      <c r="F240" s="800" t="str">
        <f>IF(AND(OR(Projektgrundlagen!$I$26,Projektgrundlagen!$I$27),'StB-D1 Besondere Lstg'!M196=TRUE),'StB-D1 Besondere Lstg'!K196,"")</f>
        <v/>
      </c>
      <c r="G240" s="808"/>
      <c r="H240" s="809"/>
    </row>
    <row r="241" spans="2:8" ht="16">
      <c r="B241" t="str">
        <f>IF(AND(OR(Projektgrundlagen!$I$26,Projektgrundlagen!$I$27),'StB-D1 Besondere Lstg'!M197=TRUE),'StB-D1 Besondere Lstg'!C197&amp;" "&amp;'StB-D1 Besondere Lstg'!F197&amp;" "&amp;'StB-D1 Besondere Lstg'!F198,"")</f>
        <v/>
      </c>
      <c r="C241" s="800" t="str">
        <f>IF(AND(OR(Projektgrundlagen!$I$26,Projektgrundlagen!$I$27),'StB-D1 Besondere Lstg'!M197=TRUE),'StB-D1 Besondere Lstg'!H197,"")</f>
        <v/>
      </c>
      <c r="D241" s="800" t="str">
        <f>IF(AND(OR(Projektgrundlagen!$I$26,Projektgrundlagen!$I$27),'StB-D1 Besondere Lstg'!M197=TRUE),'StB-D1 Besondere Lstg'!I197,"")</f>
        <v/>
      </c>
      <c r="E241" s="800" t="str">
        <f>IF(AND(OR(Projektgrundlagen!$I$26,Projektgrundlagen!$I$27),'StB-D1 Besondere Lstg'!M197=TRUE),'StB-D1 Besondere Lstg'!J197,"")</f>
        <v/>
      </c>
      <c r="F241" s="800" t="str">
        <f>IF(AND(OR(Projektgrundlagen!$I$26,Projektgrundlagen!$I$27),'StB-D1 Besondere Lstg'!M197=TRUE),'StB-D1 Besondere Lstg'!K197,"")</f>
        <v/>
      </c>
      <c r="G241" s="808"/>
      <c r="H241" s="809"/>
    </row>
    <row r="242" spans="2:8" ht="16">
      <c r="B242" t="str">
        <f>IF(AND(OR(Projektgrundlagen!$I$26,Projektgrundlagen!$I$27),'StB-D1 Besondere Lstg'!M198=TRUE),'StB-D1 Besondere Lstg'!C198&amp;" "&amp;'StB-D1 Besondere Lstg'!F198&amp;" "&amp;'StB-D1 Besondere Lstg'!F199,"")</f>
        <v/>
      </c>
      <c r="C242" s="800" t="str">
        <f>IF(AND(OR(Projektgrundlagen!$I$26,Projektgrundlagen!$I$27),'StB-D1 Besondere Lstg'!M198=TRUE),'StB-D1 Besondere Lstg'!H198,"")</f>
        <v/>
      </c>
      <c r="D242" s="800" t="str">
        <f>IF(AND(OR(Projektgrundlagen!$I$26,Projektgrundlagen!$I$27),'StB-D1 Besondere Lstg'!M198=TRUE),'StB-D1 Besondere Lstg'!I198,"")</f>
        <v/>
      </c>
      <c r="E242" s="800" t="str">
        <f>IF(AND(OR(Projektgrundlagen!$I$26,Projektgrundlagen!$I$27),'StB-D1 Besondere Lstg'!M198=TRUE),'StB-D1 Besondere Lstg'!J198,"")</f>
        <v/>
      </c>
      <c r="F242" s="800" t="str">
        <f>IF(AND(OR(Projektgrundlagen!$I$26,Projektgrundlagen!$I$27),'StB-D1 Besondere Lstg'!M198=TRUE),'StB-D1 Besondere Lstg'!K198,"")</f>
        <v/>
      </c>
      <c r="G242" s="808"/>
      <c r="H242" s="809"/>
    </row>
    <row r="243" spans="2:8" ht="16">
      <c r="B243" t="str">
        <f>IF(AND(OR(Projektgrundlagen!$I$26,Projektgrundlagen!$I$27),'StB-D1 Besondere Lstg'!M199=TRUE),'StB-D1 Besondere Lstg'!C199&amp;" "&amp;'StB-D1 Besondere Lstg'!F199&amp;" "&amp;'StB-D1 Besondere Lstg'!F200,"")</f>
        <v/>
      </c>
      <c r="C243" s="800" t="str">
        <f>IF(AND(OR(Projektgrundlagen!$I$26,Projektgrundlagen!$I$27),'StB-D1 Besondere Lstg'!M199=TRUE),'StB-D1 Besondere Lstg'!H199,"")</f>
        <v/>
      </c>
      <c r="D243" s="800" t="str">
        <f>IF(AND(OR(Projektgrundlagen!$I$26,Projektgrundlagen!$I$27),'StB-D1 Besondere Lstg'!M199=TRUE),'StB-D1 Besondere Lstg'!I199,"")</f>
        <v/>
      </c>
      <c r="E243" s="800" t="str">
        <f>IF(AND(OR(Projektgrundlagen!$I$26,Projektgrundlagen!$I$27),'StB-D1 Besondere Lstg'!M199=TRUE),'StB-D1 Besondere Lstg'!J199,"")</f>
        <v/>
      </c>
      <c r="F243" s="800" t="str">
        <f>IF(AND(OR(Projektgrundlagen!$I$26,Projektgrundlagen!$I$27),'StB-D1 Besondere Lstg'!M199=TRUE),'StB-D1 Besondere Lstg'!K199,"")</f>
        <v/>
      </c>
      <c r="G243" s="808"/>
      <c r="H243" s="809"/>
    </row>
    <row r="244" spans="2:8" ht="16">
      <c r="B244" t="str">
        <f>IF(AND(OR(Projektgrundlagen!$I$26,Projektgrundlagen!$I$27),'StB-D1 Besondere Lstg'!M200=TRUE),'StB-D1 Besondere Lstg'!C200&amp;" "&amp;'StB-D1 Besondere Lstg'!F200&amp;" "&amp;'StB-D1 Besondere Lstg'!F201,"")</f>
        <v/>
      </c>
      <c r="C244" s="800" t="str">
        <f>IF(AND(OR(Projektgrundlagen!$I$26,Projektgrundlagen!$I$27),'StB-D1 Besondere Lstg'!M200=TRUE),'StB-D1 Besondere Lstg'!H200,"")</f>
        <v/>
      </c>
      <c r="D244" s="800" t="str">
        <f>IF(AND(OR(Projektgrundlagen!$I$26,Projektgrundlagen!$I$27),'StB-D1 Besondere Lstg'!M200=TRUE),'StB-D1 Besondere Lstg'!I200,"")</f>
        <v/>
      </c>
      <c r="E244" s="800" t="str">
        <f>IF(AND(OR(Projektgrundlagen!$I$26,Projektgrundlagen!$I$27),'StB-D1 Besondere Lstg'!M200=TRUE),'StB-D1 Besondere Lstg'!J200,"")</f>
        <v/>
      </c>
      <c r="F244" s="800" t="str">
        <f>IF(AND(OR(Projektgrundlagen!$I$26,Projektgrundlagen!$I$27),'StB-D1 Besondere Lstg'!M200=TRUE),'StB-D1 Besondere Lstg'!K200,"")</f>
        <v/>
      </c>
      <c r="G244" s="808"/>
      <c r="H244" s="809"/>
    </row>
    <row r="245" spans="2:8" ht="16">
      <c r="B245" t="str">
        <f>IF(AND(OR(Projektgrundlagen!$I$26,Projektgrundlagen!$I$27),'StB-D1 Besondere Lstg'!M201=TRUE),'StB-D1 Besondere Lstg'!C201&amp;" "&amp;'StB-D1 Besondere Lstg'!F201&amp;" "&amp;'StB-D1 Besondere Lstg'!F202,"")</f>
        <v/>
      </c>
      <c r="C245" s="800" t="str">
        <f>IF(AND(OR(Projektgrundlagen!$I$26,Projektgrundlagen!$I$27),'StB-D1 Besondere Lstg'!M201=TRUE),'StB-D1 Besondere Lstg'!H201,"")</f>
        <v/>
      </c>
      <c r="D245" s="800" t="str">
        <f>IF(AND(OR(Projektgrundlagen!$I$26,Projektgrundlagen!$I$27),'StB-D1 Besondere Lstg'!M201=TRUE),'StB-D1 Besondere Lstg'!I201,"")</f>
        <v/>
      </c>
      <c r="E245" s="800" t="str">
        <f>IF(AND(OR(Projektgrundlagen!$I$26,Projektgrundlagen!$I$27),'StB-D1 Besondere Lstg'!M201=TRUE),'StB-D1 Besondere Lstg'!J201,"")</f>
        <v/>
      </c>
      <c r="F245" s="800" t="str">
        <f>IF(AND(OR(Projektgrundlagen!$I$26,Projektgrundlagen!$I$27),'StB-D1 Besondere Lstg'!M201=TRUE),'StB-D1 Besondere Lstg'!K201,"")</f>
        <v/>
      </c>
      <c r="G245" s="808"/>
      <c r="H245" s="809"/>
    </row>
    <row r="246" spans="2:8" ht="16">
      <c r="B246" t="str">
        <f>IF(AND(OR(Projektgrundlagen!$I$26,Projektgrundlagen!$I$27),'StB-D1 Besondere Lstg'!M202=TRUE),'StB-D1 Besondere Lstg'!C202&amp;" "&amp;'StB-D1 Besondere Lstg'!F202&amp;" "&amp;'StB-D1 Besondere Lstg'!F203,"")</f>
        <v/>
      </c>
      <c r="C246" s="800" t="str">
        <f>IF(AND(OR(Projektgrundlagen!$I$26,Projektgrundlagen!$I$27),'StB-D1 Besondere Lstg'!M202=TRUE),'StB-D1 Besondere Lstg'!H202,"")</f>
        <v/>
      </c>
      <c r="D246" s="800" t="str">
        <f>IF(AND(OR(Projektgrundlagen!$I$26,Projektgrundlagen!$I$27),'StB-D1 Besondere Lstg'!M202=TRUE),'StB-D1 Besondere Lstg'!I202,"")</f>
        <v/>
      </c>
      <c r="E246" s="800" t="str">
        <f>IF(AND(OR(Projektgrundlagen!$I$26,Projektgrundlagen!$I$27),'StB-D1 Besondere Lstg'!M202=TRUE),'StB-D1 Besondere Lstg'!J202,"")</f>
        <v/>
      </c>
      <c r="F246" s="800" t="str">
        <f>IF(AND(OR(Projektgrundlagen!$I$26,Projektgrundlagen!$I$27),'StB-D1 Besondere Lstg'!M202=TRUE),'StB-D1 Besondere Lstg'!K202,"")</f>
        <v/>
      </c>
      <c r="G246" s="808"/>
      <c r="H246" s="809"/>
    </row>
    <row r="247" spans="2:8" ht="16">
      <c r="B247" t="str">
        <f>IF(AND(OR(Projektgrundlagen!$I$26,Projektgrundlagen!$I$27),'StB-D1 Besondere Lstg'!M203=TRUE),'StB-D1 Besondere Lstg'!C203&amp;" "&amp;'StB-D1 Besondere Lstg'!F203&amp;" "&amp;'StB-D1 Besondere Lstg'!F204,"")</f>
        <v/>
      </c>
      <c r="C247" s="800" t="str">
        <f>IF(AND(OR(Projektgrundlagen!$I$26,Projektgrundlagen!$I$27),'StB-D1 Besondere Lstg'!M203=TRUE),'StB-D1 Besondere Lstg'!H203,"")</f>
        <v/>
      </c>
      <c r="D247" s="800" t="str">
        <f>IF(AND(OR(Projektgrundlagen!$I$26,Projektgrundlagen!$I$27),'StB-D1 Besondere Lstg'!M203=TRUE),'StB-D1 Besondere Lstg'!I203,"")</f>
        <v/>
      </c>
      <c r="E247" s="800" t="str">
        <f>IF(AND(OR(Projektgrundlagen!$I$26,Projektgrundlagen!$I$27),'StB-D1 Besondere Lstg'!M203=TRUE),'StB-D1 Besondere Lstg'!J203,"")</f>
        <v/>
      </c>
      <c r="F247" s="800" t="str">
        <f>IF(AND(OR(Projektgrundlagen!$I$26,Projektgrundlagen!$I$27),'StB-D1 Besondere Lstg'!M203=TRUE),'StB-D1 Besondere Lstg'!K203,"")</f>
        <v/>
      </c>
      <c r="G247" s="808"/>
      <c r="H247" s="809"/>
    </row>
    <row r="248" spans="2:8" ht="16">
      <c r="B248" t="str">
        <f>IF(AND(OR(Projektgrundlagen!$I$26,Projektgrundlagen!$I$27),'StB-D1 Besondere Lstg'!M204=TRUE),'StB-D1 Besondere Lstg'!C204&amp;" "&amp;'StB-D1 Besondere Lstg'!F204&amp;" "&amp;'StB-D1 Besondere Lstg'!F205,"")</f>
        <v/>
      </c>
      <c r="C248" s="800" t="str">
        <f>IF(AND(OR(Projektgrundlagen!$I$26,Projektgrundlagen!$I$27),'StB-D1 Besondere Lstg'!M204=TRUE),'StB-D1 Besondere Lstg'!H204,"")</f>
        <v/>
      </c>
      <c r="D248" s="800" t="str">
        <f>IF(AND(OR(Projektgrundlagen!$I$26,Projektgrundlagen!$I$27),'StB-D1 Besondere Lstg'!M204=TRUE),'StB-D1 Besondere Lstg'!I204,"")</f>
        <v/>
      </c>
      <c r="E248" s="800" t="str">
        <f>IF(AND(OR(Projektgrundlagen!$I$26,Projektgrundlagen!$I$27),'StB-D1 Besondere Lstg'!M204=TRUE),'StB-D1 Besondere Lstg'!J204,"")</f>
        <v/>
      </c>
      <c r="F248" s="800" t="str">
        <f>IF(AND(OR(Projektgrundlagen!$I$26,Projektgrundlagen!$I$27),'StB-D1 Besondere Lstg'!M204=TRUE),'StB-D1 Besondere Lstg'!K204,"")</f>
        <v/>
      </c>
      <c r="G248" s="808"/>
      <c r="H248" s="809"/>
    </row>
    <row r="249" spans="2:8" ht="16">
      <c r="B249" t="str">
        <f>IF(AND(OR(Projektgrundlagen!$I$26,Projektgrundlagen!$I$27),'StB-D1 Besondere Lstg'!M205=TRUE),'StB-D1 Besondere Lstg'!C205&amp;" "&amp;'StB-D1 Besondere Lstg'!F205&amp;" "&amp;'StB-D1 Besondere Lstg'!F206,"")</f>
        <v/>
      </c>
      <c r="C249" s="800" t="str">
        <f>IF(AND(OR(Projektgrundlagen!$I$26,Projektgrundlagen!$I$27),'StB-D1 Besondere Lstg'!M205=TRUE),'StB-D1 Besondere Lstg'!H205,"")</f>
        <v/>
      </c>
      <c r="D249" s="800" t="str">
        <f>IF(AND(OR(Projektgrundlagen!$I$26,Projektgrundlagen!$I$27),'StB-D1 Besondere Lstg'!M205=TRUE),'StB-D1 Besondere Lstg'!I205,"")</f>
        <v/>
      </c>
      <c r="E249" s="800" t="str">
        <f>IF(AND(OR(Projektgrundlagen!$I$26,Projektgrundlagen!$I$27),'StB-D1 Besondere Lstg'!M205=TRUE),'StB-D1 Besondere Lstg'!J205,"")</f>
        <v/>
      </c>
      <c r="F249" s="800" t="str">
        <f>IF(AND(OR(Projektgrundlagen!$I$26,Projektgrundlagen!$I$27),'StB-D1 Besondere Lstg'!M205=TRUE),'StB-D1 Besondere Lstg'!K205,"")</f>
        <v/>
      </c>
      <c r="G249" s="808"/>
      <c r="H249" s="809"/>
    </row>
    <row r="250" spans="2:8" ht="16">
      <c r="B250" t="str">
        <f>IF(AND(OR(Projektgrundlagen!$I$26,Projektgrundlagen!$I$27),'StB-D1 Besondere Lstg'!M206=TRUE),'StB-D1 Besondere Lstg'!C206&amp;" "&amp;'StB-D1 Besondere Lstg'!F206&amp;" "&amp;'StB-D1 Besondere Lstg'!F207,"")</f>
        <v/>
      </c>
      <c r="C250" s="800" t="str">
        <f>IF(AND(OR(Projektgrundlagen!$I$26,Projektgrundlagen!$I$27),'StB-D1 Besondere Lstg'!M206=TRUE),'StB-D1 Besondere Lstg'!H206,"")</f>
        <v/>
      </c>
      <c r="D250" s="800" t="str">
        <f>IF(AND(OR(Projektgrundlagen!$I$26,Projektgrundlagen!$I$27),'StB-D1 Besondere Lstg'!M206=TRUE),'StB-D1 Besondere Lstg'!I206,"")</f>
        <v/>
      </c>
      <c r="E250" s="800" t="str">
        <f>IF(AND(OR(Projektgrundlagen!$I$26,Projektgrundlagen!$I$27),'StB-D1 Besondere Lstg'!M206=TRUE),'StB-D1 Besondere Lstg'!J206,"")</f>
        <v/>
      </c>
      <c r="F250" s="800" t="str">
        <f>IF(AND(OR(Projektgrundlagen!$I$26,Projektgrundlagen!$I$27),'StB-D1 Besondere Lstg'!M206=TRUE),'StB-D1 Besondere Lstg'!K206,"")</f>
        <v/>
      </c>
      <c r="G250" s="808"/>
      <c r="H250" s="809"/>
    </row>
    <row r="251" spans="2:8" ht="16">
      <c r="C251" s="800"/>
      <c r="D251" s="808"/>
      <c r="E251" s="809"/>
    </row>
    <row r="252" spans="2:8" ht="16">
      <c r="C252" s="800"/>
      <c r="D252" s="808"/>
      <c r="E252" s="809"/>
    </row>
    <row r="253" spans="2:8" ht="16">
      <c r="C253" s="800"/>
      <c r="D253" s="808"/>
      <c r="E253" s="809"/>
    </row>
    <row r="254" spans="2:8" ht="16">
      <c r="C254" s="800"/>
      <c r="D254" s="808"/>
      <c r="E254" s="809"/>
    </row>
    <row r="255" spans="2:8" ht="16">
      <c r="C255" s="800"/>
      <c r="D255" s="808"/>
      <c r="E255" s="809"/>
    </row>
    <row r="256" spans="2:8" ht="16">
      <c r="C256" s="800"/>
      <c r="D256" s="808"/>
    </row>
    <row r="257" spans="2:4" ht="16">
      <c r="C257" s="800"/>
      <c r="D257" s="808"/>
    </row>
    <row r="258" spans="2:4">
      <c r="C258" s="800"/>
    </row>
    <row r="259" spans="2:4">
      <c r="C259" s="800"/>
    </row>
    <row r="260" spans="2:4">
      <c r="C260" s="800"/>
    </row>
    <row r="261" spans="2:4">
      <c r="C261" s="800"/>
    </row>
    <row r="262" spans="2:4">
      <c r="B262" s="804"/>
      <c r="C262" s="800"/>
    </row>
    <row r="263" spans="2:4">
      <c r="B263" s="804"/>
      <c r="C263" s="800"/>
    </row>
    <row r="264" spans="2:4">
      <c r="B264" s="804"/>
      <c r="C264" s="800"/>
    </row>
    <row r="265" spans="2:4">
      <c r="B265" s="804"/>
      <c r="C265" s="800"/>
    </row>
    <row r="266" spans="2:4">
      <c r="B266" s="804"/>
      <c r="C266" s="800"/>
    </row>
    <row r="267" spans="2:4">
      <c r="B267" s="804"/>
      <c r="C267" s="800"/>
    </row>
    <row r="268" spans="2:4">
      <c r="C268" s="800"/>
    </row>
    <row r="269" spans="2:4">
      <c r="C269" s="800"/>
    </row>
    <row r="270" spans="2:4">
      <c r="C270" s="800"/>
    </row>
    <row r="271" spans="2:4">
      <c r="C271" s="800"/>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3"/>
  <sheetViews>
    <sheetView showGridLines="0" showRuler="0" zoomScaleNormal="100" zoomScaleSheetLayoutView="110" workbookViewId="0">
      <selection activeCell="G19" sqref="G19"/>
    </sheetView>
  </sheetViews>
  <sheetFormatPr baseColWidth="10" defaultColWidth="0" defaultRowHeight="16.5" zeroHeight="1"/>
  <cols>
    <col min="1" max="1" width="5.7265625" style="343" customWidth="1"/>
    <col min="2" max="2" width="5.7265625" style="1" customWidth="1"/>
    <col min="3" max="3" width="3.26953125" style="1" customWidth="1"/>
    <col min="4" max="4" width="5.7265625" style="1" customWidth="1"/>
    <col min="5" max="5" width="47.81640625" style="1" customWidth="1"/>
    <col min="6" max="6" width="19.1796875" style="1" customWidth="1"/>
    <col min="7" max="7" width="22.26953125" style="1" customWidth="1"/>
    <col min="8" max="8" width="2.7265625" style="1" customWidth="1"/>
    <col min="9" max="9" width="16" style="10" hidden="1" customWidth="1"/>
    <col min="10" max="16384" width="11.26953125" style="1" hidden="1"/>
  </cols>
  <sheetData>
    <row r="1" spans="1:12"/>
    <row r="2" spans="1:12" ht="16.5" customHeight="1">
      <c r="B2" s="876" t="str">
        <f>IF(Projektgrundlagen!B2="","",Projektgrundlagen!B2)</f>
        <v>Landschaftspflegerischer Begleitplan</v>
      </c>
      <c r="C2" s="876"/>
      <c r="D2" s="876"/>
      <c r="E2" s="877"/>
      <c r="F2" s="290" t="str">
        <f>IF(Projektgrundlagen!F2="","",Projektgrundlagen!F2)</f>
        <v>VII.05.4-LBP</v>
      </c>
      <c r="G2" s="312" t="s">
        <v>121</v>
      </c>
      <c r="H2" s="878" t="s">
        <v>364</v>
      </c>
      <c r="I2" s="30" t="s">
        <v>39</v>
      </c>
      <c r="J2" s="134"/>
      <c r="L2" s="157" t="s">
        <v>111</v>
      </c>
    </row>
    <row r="3" spans="1:12" ht="16.5" customHeight="1">
      <c r="B3" s="853" t="s">
        <v>360</v>
      </c>
      <c r="C3" s="853"/>
      <c r="D3" s="853"/>
      <c r="E3" s="854"/>
      <c r="F3" s="301" t="str">
        <f>IF(Projektgrundlagen!F3="","",Projektgrundlagen!F3)</f>
        <v>Vertragsnr.:</v>
      </c>
      <c r="G3" s="291" t="str">
        <f>IF(Projektgrundlagen!G3="","",Projektgrundlagen!G3)</f>
        <v/>
      </c>
      <c r="H3" s="878"/>
      <c r="I3" s="9"/>
      <c r="L3" s="1" t="str">
        <f ca="1">MID(CELL("dateiname",A2),FIND("]",CELL("dateiname",A2))+1,255)</f>
        <v>A Fläche</v>
      </c>
    </row>
    <row r="4" spans="1:12" ht="7.5" customHeight="1">
      <c r="B4" s="292"/>
      <c r="C4" s="292"/>
      <c r="D4" s="292"/>
      <c r="E4" s="286"/>
      <c r="F4" s="120"/>
      <c r="G4" s="120"/>
      <c r="H4" s="878"/>
    </row>
    <row r="5" spans="1:12">
      <c r="B5" s="902" t="str">
        <f>IF(Projektgrundlagen!B5="","",Projektgrundlagen!B5)</f>
        <v>Maßnahmennr:</v>
      </c>
      <c r="C5" s="903" t="str">
        <f>IF(Projektgrundlagen!C5="","",Projektgrundlagen!C5)</f>
        <v/>
      </c>
      <c r="D5" s="903" t="str">
        <f>IF(Projektgrundlagen!D5="","",Projektgrundlagen!D5)</f>
        <v/>
      </c>
      <c r="E5" s="280" t="str">
        <f>IF(Projektgrundlagen!E5="","",Projektgrundlagen!E5)</f>
        <v/>
      </c>
      <c r="F5" s="293" t="str">
        <f>IF(Projektgrundlagen!F5="","",Projektgrundlagen!F5)</f>
        <v>Vergabenr.:</v>
      </c>
      <c r="G5" s="294" t="str">
        <f>IF(Projektgrundlagen!G5="","",Projektgrundlagen!G5)</f>
        <v/>
      </c>
      <c r="H5" s="878"/>
      <c r="I5" s="9"/>
    </row>
    <row r="6" spans="1:12">
      <c r="B6" s="914" t="str">
        <f>IF(Projektgrundlagen!B6="","",Projektgrundlagen!B6)</f>
        <v>Bauherr:</v>
      </c>
      <c r="C6" s="915" t="str">
        <f>IF(Projektgrundlagen!C6="","",Projektgrundlagen!C6)</f>
        <v/>
      </c>
      <c r="D6" s="915" t="str">
        <f>IF(Projektgrundlagen!D6="","",Projektgrundlagen!D6)</f>
        <v/>
      </c>
      <c r="E6" s="906" t="str">
        <f>IF(Projektgrundlagen!E6="","",Projektgrundlagen!E6)</f>
        <v xml:space="preserve">Mittelfränkischen Eisenbahnbetriebs GmbH  </v>
      </c>
      <c r="F6" s="906"/>
      <c r="G6" s="907"/>
      <c r="H6" s="878"/>
    </row>
    <row r="7" spans="1:12">
      <c r="B7" s="916"/>
      <c r="C7" s="917"/>
      <c r="D7" s="917"/>
      <c r="E7" s="908" t="str">
        <f>IF(Projektgrundlagen!E7="","",Projektgrundlagen!E7)</f>
        <v>Reaktivierung der Bahnstrecke 5331 im Abschnitt Wilburgstetten - Dombühl für den SPNV</v>
      </c>
      <c r="F7" s="908"/>
      <c r="G7" s="909"/>
      <c r="H7" s="878"/>
    </row>
    <row r="8" spans="1:12">
      <c r="B8" s="851" t="s">
        <v>83</v>
      </c>
      <c r="C8" s="852"/>
      <c r="D8" s="852"/>
      <c r="E8" s="904" t="str">
        <f>IF(Projektgrundlagen!E8="","",Projektgrundlagen!E8)</f>
        <v/>
      </c>
      <c r="F8" s="904"/>
      <c r="G8" s="905"/>
      <c r="H8" s="878"/>
    </row>
    <row r="9" spans="1:12">
      <c r="B9" s="269"/>
      <c r="C9" s="269"/>
      <c r="D9" s="269"/>
      <c r="E9" s="288"/>
      <c r="F9" s="288"/>
      <c r="G9" s="288"/>
    </row>
    <row r="10" spans="1:12" s="20" customFormat="1" ht="26.25" customHeight="1">
      <c r="A10" s="345"/>
      <c r="B10" s="352"/>
      <c r="C10" s="910" t="s">
        <v>360</v>
      </c>
      <c r="D10" s="910"/>
      <c r="E10" s="910"/>
      <c r="F10" s="910"/>
      <c r="G10" s="353"/>
      <c r="I10" s="31"/>
    </row>
    <row r="11" spans="1:12" ht="16">
      <c r="A11" s="731" t="str">
        <f>IF(AND(Projektgrundlagen!I14=FALSE,Projektgrundlagen!I13,COUNTIF($I$11:$I$13,TRUE)&lt;&gt;1),"è","")</f>
        <v/>
      </c>
      <c r="B11" s="911" t="s">
        <v>1</v>
      </c>
      <c r="C11" s="354"/>
      <c r="D11" s="884" t="s">
        <v>110</v>
      </c>
      <c r="E11" s="885"/>
      <c r="F11" s="357"/>
      <c r="G11" s="357"/>
      <c r="I11" s="75" t="b">
        <v>0</v>
      </c>
    </row>
    <row r="12" spans="1:12" ht="16">
      <c r="A12" s="731" t="str">
        <f>IF(COUNTIF($I$11:$I$13,TRUE)&lt;&gt;1,"è","")</f>
        <v/>
      </c>
      <c r="B12" s="912"/>
      <c r="C12" s="211"/>
      <c r="D12" s="898" t="s">
        <v>11</v>
      </c>
      <c r="E12" s="899"/>
      <c r="F12" s="359"/>
      <c r="G12" s="646" t="s">
        <v>361</v>
      </c>
      <c r="I12" s="75" t="b">
        <v>1</v>
      </c>
    </row>
    <row r="13" spans="1:12" ht="16">
      <c r="A13" s="731" t="str">
        <f>IF(COUNTIF($I$11:$I$13,TRUE)&lt;&gt;1,"è","")</f>
        <v/>
      </c>
      <c r="B13" s="913"/>
      <c r="C13" s="211"/>
      <c r="D13" s="900" t="s">
        <v>0</v>
      </c>
      <c r="E13" s="901"/>
      <c r="F13" s="360"/>
      <c r="G13" s="358"/>
      <c r="I13" s="75" t="b">
        <v>0</v>
      </c>
    </row>
    <row r="14" spans="1:12" ht="7.5" customHeight="1">
      <c r="A14" s="732"/>
      <c r="B14" s="306"/>
      <c r="C14" s="302"/>
      <c r="D14" s="302"/>
      <c r="E14" s="302"/>
      <c r="F14" s="303"/>
      <c r="G14" s="305"/>
      <c r="H14" s="12"/>
    </row>
    <row r="15" spans="1:12" ht="16.5" customHeight="1">
      <c r="B15" s="349">
        <v>1</v>
      </c>
      <c r="C15" s="896" t="s">
        <v>363</v>
      </c>
      <c r="D15" s="897"/>
      <c r="E15" s="897"/>
      <c r="F15" s="897"/>
      <c r="G15" s="304"/>
    </row>
    <row r="16" spans="1:12" ht="16.5" customHeight="1">
      <c r="B16" s="37"/>
      <c r="C16" s="11"/>
      <c r="D16" s="1" t="s">
        <v>391</v>
      </c>
      <c r="E16" s="9"/>
      <c r="F16" s="9"/>
      <c r="G16" s="847"/>
    </row>
    <row r="17" spans="1:9" ht="16.5" customHeight="1">
      <c r="B17" s="37"/>
      <c r="C17" s="811"/>
      <c r="D17" s="1" t="s">
        <v>392</v>
      </c>
      <c r="E17" s="9"/>
      <c r="F17" s="9"/>
      <c r="G17" s="814"/>
    </row>
    <row r="18" spans="1:9" ht="16.5" customHeight="1">
      <c r="B18" s="232"/>
      <c r="C18" s="651"/>
      <c r="D18" s="234"/>
      <c r="E18" s="50" t="s">
        <v>657</v>
      </c>
      <c r="F18" s="235"/>
      <c r="G18" s="50">
        <v>101.5</v>
      </c>
    </row>
    <row r="19" spans="1:9" ht="17" thickBot="1">
      <c r="B19" s="355"/>
      <c r="C19" s="356"/>
      <c r="D19" s="356"/>
      <c r="E19" s="356"/>
      <c r="F19" s="356"/>
      <c r="G19" s="315"/>
      <c r="I19" s="121"/>
    </row>
    <row r="20" spans="1:9" s="20" customFormat="1" ht="30" customHeight="1" thickBot="1">
      <c r="A20" s="343"/>
      <c r="B20" s="748" t="s">
        <v>45</v>
      </c>
      <c r="C20" s="893" t="s">
        <v>362</v>
      </c>
      <c r="D20" s="894"/>
      <c r="E20" s="894"/>
      <c r="F20" s="895"/>
      <c r="G20" s="432">
        <f>IF(COUNTIF($I$11:$I$13,TRUE)&lt;&gt;1,"",G18)</f>
        <v>101.5</v>
      </c>
      <c r="I20" s="31" t="b">
        <f>IF(OR(G20&lt;'H §31 HOAI'!B16,G20&gt;'H §31 HOAI'!B35),TRUE,FALSE)</f>
        <v>0</v>
      </c>
    </row>
    <row r="21" spans="1:9" ht="12.75" customHeight="1">
      <c r="B21" s="13"/>
      <c r="C21" s="13"/>
      <c r="D21" s="13"/>
      <c r="E21" s="14"/>
      <c r="G21" s="362" t="str">
        <f>IF(COUNTIF($I$11:$I$13,TRUE)&lt;&gt;1,"",(IF(OR(G20&lt;'H §31 HOAI'!B16,G20&gt;'H §31 HOAI'!B35),"Fläche liegt außerhalb der Honorartafel!","")))</f>
        <v/>
      </c>
    </row>
    <row r="22" spans="1:9" hidden="1">
      <c r="B22" s="747"/>
      <c r="C22" s="747"/>
      <c r="D22" s="747"/>
      <c r="E22" s="747"/>
      <c r="F22" s="747"/>
      <c r="G22" s="747"/>
    </row>
    <row r="23" spans="1:9" hidden="1">
      <c r="B23" s="281"/>
      <c r="C23" s="281"/>
      <c r="D23" s="281"/>
      <c r="E23" s="281"/>
      <c r="F23" s="281"/>
      <c r="G23" s="281"/>
    </row>
  </sheetData>
  <sheetProtection formatRows="0"/>
  <mergeCells count="17">
    <mergeCell ref="B3:E3"/>
    <mergeCell ref="C20:F20"/>
    <mergeCell ref="C15:F15"/>
    <mergeCell ref="H2:H8"/>
    <mergeCell ref="D11:E11"/>
    <mergeCell ref="D12:E12"/>
    <mergeCell ref="D13:E13"/>
    <mergeCell ref="B5:D5"/>
    <mergeCell ref="B8:D8"/>
    <mergeCell ref="E8:G8"/>
    <mergeCell ref="E6:G6"/>
    <mergeCell ref="E7:G7"/>
    <mergeCell ref="C10:F10"/>
    <mergeCell ref="B11:B13"/>
    <mergeCell ref="B6:D6"/>
    <mergeCell ref="B7:D7"/>
    <mergeCell ref="B2:E2"/>
  </mergeCells>
  <conditionalFormatting sqref="C11">
    <cfRule type="expression" dxfId="491" priority="745">
      <formula>IF(COUNTIF(I10:I13,TRUE)=1,0,1)</formula>
    </cfRule>
  </conditionalFormatting>
  <conditionalFormatting sqref="C12">
    <cfRule type="expression" dxfId="490" priority="35">
      <formula>IF(COUNTIF(I11:I13,TRUE)=1,0,1)</formula>
    </cfRule>
  </conditionalFormatting>
  <conditionalFormatting sqref="C13">
    <cfRule type="expression" dxfId="489" priority="34">
      <formula>IF(COUNTIF(I11:I13,TRUE)=1,0,1)</formula>
    </cfRule>
  </conditionalFormatting>
  <conditionalFormatting sqref="E18">
    <cfRule type="expression" dxfId="487" priority="25">
      <formula>IF(COUNTIF($I$11:$I$13,TRUE)&lt;&gt;1,TRUE,FALSE)</formula>
    </cfRule>
  </conditionalFormatting>
  <conditionalFormatting sqref="G18">
    <cfRule type="expression" dxfId="486" priority="1">
      <formula>IF(COUNTIF($I$11:$I$13,TRUE)&lt;&gt;1,TRUE,FALSE)</formula>
    </cfRule>
  </conditionalFormatting>
  <conditionalFormatting sqref="G20">
    <cfRule type="expression" dxfId="485" priority="22">
      <formula>IF(COUNTIF($I$11:$I$13,TRUE)&lt;&gt;1,TRUE,FALSE)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11</xdr:row>
                    <xdr:rowOff>0</xdr:rowOff>
                  </from>
                  <to>
                    <xdr:col>3</xdr:col>
                    <xdr:colOff>0</xdr:colOff>
                    <xdr:row>12</xdr:row>
                    <xdr:rowOff>12700</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222250</xdr:rowOff>
                  </from>
                  <to>
                    <xdr:col>3</xdr:col>
                    <xdr:colOff>0</xdr:colOff>
                    <xdr:row>13</xdr:row>
                    <xdr:rowOff>12700</xdr:rowOff>
                  </to>
                </anchor>
              </controlPr>
            </control>
          </mc:Choice>
        </mc:AlternateContent>
        <mc:AlternateContent xmlns:mc="http://schemas.openxmlformats.org/markup-compatibility/2006">
          <mc:Choice Requires="x14">
            <control shapeId="22540" r:id="rId6" name="Check Box 12">
              <controlPr defaultSize="0" autoFill="0" autoLine="0" autoPict="0" altText="">
                <anchor moveWithCells="1">
                  <from>
                    <xdr:col>2</xdr:col>
                    <xdr:colOff>0</xdr:colOff>
                    <xdr:row>10</xdr:row>
                    <xdr:rowOff>0</xdr:rowOff>
                  </from>
                  <to>
                    <xdr:col>3</xdr:col>
                    <xdr:colOff>0</xdr:colOff>
                    <xdr:row>11</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489043DC-AC87-4F73-BF90-4ED68C86BB32}">
            <xm:f>Projektgrundlagen!I13=FALSE</xm:f>
            <x14:dxf>
              <fill>
                <patternFill>
                  <bgColor theme="0"/>
                </patternFill>
              </fill>
              <border>
                <left style="thin">
                  <color auto="1"/>
                </left>
                <right style="thin">
                  <color auto="1"/>
                </right>
                <top style="thin">
                  <color auto="1"/>
                </top>
                <bottom style="thin">
                  <color auto="1"/>
                </bottom>
              </border>
            </x14:dxf>
          </x14:cfRule>
          <xm:sqref>C11</xm:sqref>
        </x14:conditionalFormatting>
        <x14:conditionalFormatting xmlns:xm="http://schemas.microsoft.com/office/excel/2006/main">
          <x14:cfRule type="expression" priority="30" id="{2325E0DF-1C00-44B3-8763-A77333C9BD36}">
            <xm:f>Projektgrundlagen!I13=FALSE</xm:f>
            <x14:dxf>
              <font>
                <strike/>
                <color theme="0" tint="-0.14996795556505021"/>
              </font>
            </x14:dxf>
          </x14:cfRule>
          <xm:sqref>D11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7"/>
  <sheetViews>
    <sheetView showGridLines="0" zoomScaleNormal="100" zoomScaleSheetLayoutView="100" zoomScalePageLayoutView="75" workbookViewId="0">
      <selection activeCell="I13" sqref="I13"/>
    </sheetView>
  </sheetViews>
  <sheetFormatPr baseColWidth="10" defaultColWidth="0" defaultRowHeight="16.5" zeroHeight="1"/>
  <cols>
    <col min="1" max="1" width="5.7265625" style="728" customWidth="1"/>
    <col min="2" max="2" width="3.26953125" style="1" customWidth="1"/>
    <col min="3" max="3" width="20" style="1" customWidth="1"/>
    <col min="4" max="4" width="19.81640625" style="1" customWidth="1"/>
    <col min="5" max="5" width="16.81640625" style="1" customWidth="1"/>
    <col min="6" max="6" width="3.7265625" style="1" customWidth="1"/>
    <col min="7" max="7" width="16.81640625" style="1" customWidth="1"/>
    <col min="8" max="8" width="3.7265625" style="1" customWidth="1"/>
    <col min="9" max="9" width="19.81640625" style="1" customWidth="1"/>
    <col min="10" max="10" width="2.7265625" style="1" customWidth="1"/>
    <col min="11" max="11" width="17.453125" style="1" hidden="1" customWidth="1"/>
    <col min="12" max="14" width="0" style="1" hidden="1" customWidth="1"/>
    <col min="15" max="16384" width="11.26953125" style="1" hidden="1"/>
  </cols>
  <sheetData>
    <row r="1" spans="1:14" ht="16">
      <c r="A1" s="727"/>
    </row>
    <row r="2" spans="1:14" ht="16.5" customHeight="1">
      <c r="A2" s="727"/>
      <c r="B2" s="876" t="str">
        <f>IF(Projektgrundlagen!B2="","",Projektgrundlagen!B2)</f>
        <v>Landschaftspflegerischer Begleitplan</v>
      </c>
      <c r="C2" s="876"/>
      <c r="D2" s="876"/>
      <c r="E2" s="876"/>
      <c r="F2" s="877"/>
      <c r="G2" s="290" t="str">
        <f>IF(Projektgrundlagen!F2="","",Projektgrundlagen!F2)</f>
        <v>VII.05.4-LBP</v>
      </c>
      <c r="H2" s="919" t="s">
        <v>122</v>
      </c>
      <c r="I2" s="920"/>
      <c r="J2" s="918" t="s">
        <v>222</v>
      </c>
      <c r="K2" s="15" t="s">
        <v>39</v>
      </c>
      <c r="N2" s="157" t="s">
        <v>111</v>
      </c>
    </row>
    <row r="3" spans="1:14" ht="16.5" customHeight="1">
      <c r="B3" s="853" t="s">
        <v>12</v>
      </c>
      <c r="C3" s="853"/>
      <c r="D3" s="853"/>
      <c r="E3" s="853"/>
      <c r="F3" s="854"/>
      <c r="G3" s="301" t="str">
        <f>IF(Projektgrundlagen!F3="","",Projektgrundlagen!F3)</f>
        <v>Vertragsnr.:</v>
      </c>
      <c r="H3" s="904" t="str">
        <f>IF(Projektgrundlagen!G3="","",Projektgrundlagen!G3)</f>
        <v/>
      </c>
      <c r="I3" s="905"/>
      <c r="J3" s="918"/>
      <c r="N3" s="1" t="str">
        <f ca="1">MID(CELL("dateiname",A2),FIND("]",CELL("dateiname",A2))+1,255)</f>
        <v>B HZone</v>
      </c>
    </row>
    <row r="4" spans="1:14" ht="7.5" customHeight="1">
      <c r="B4" s="285"/>
      <c r="C4" s="285"/>
      <c r="D4" s="285"/>
      <c r="E4" s="285"/>
      <c r="F4" s="285"/>
      <c r="G4" s="284"/>
      <c r="H4" s="284"/>
      <c r="I4" s="284"/>
      <c r="J4" s="918"/>
    </row>
    <row r="5" spans="1:14">
      <c r="B5" s="925" t="str">
        <f>IF(Projektgrundlagen!B5="","",Projektgrundlagen!B5)</f>
        <v>Maßnahmennr:</v>
      </c>
      <c r="C5" s="926"/>
      <c r="D5" s="927" t="str">
        <f>IF(Projektgrundlagen!E5="","",Projektgrundlagen!E5)</f>
        <v/>
      </c>
      <c r="E5" s="927"/>
      <c r="F5" s="927"/>
      <c r="G5" s="293" t="str">
        <f>IF(Projektgrundlagen!F5="","",Projektgrundlagen!F5)</f>
        <v>Vergabenr.:</v>
      </c>
      <c r="H5" s="921" t="str">
        <f>IF(Projektgrundlagen!G5="","",Projektgrundlagen!G5)</f>
        <v/>
      </c>
      <c r="I5" s="922"/>
      <c r="J5" s="918"/>
    </row>
    <row r="6" spans="1:14">
      <c r="B6" s="884" t="str">
        <f>IF(Projektgrundlagen!B6="","",Projektgrundlagen!B6)</f>
        <v>Bauherr:</v>
      </c>
      <c r="C6" s="885"/>
      <c r="D6" s="923" t="str">
        <f>IF(Projektgrundlagen!E6="","",Projektgrundlagen!E6)</f>
        <v xml:space="preserve">Mittelfränkischen Eisenbahnbetriebs GmbH  </v>
      </c>
      <c r="E6" s="923"/>
      <c r="F6" s="923"/>
      <c r="G6" s="923"/>
      <c r="H6" s="923"/>
      <c r="I6" s="924"/>
      <c r="J6" s="918"/>
    </row>
    <row r="7" spans="1:14">
      <c r="B7" s="884"/>
      <c r="C7" s="885"/>
      <c r="D7" s="908" t="str">
        <f>IF(Projektgrundlagen!E7="","",Projektgrundlagen!E7)</f>
        <v>Reaktivierung der Bahnstrecke 5331 im Abschnitt Wilburgstetten - Dombühl für den SPNV</v>
      </c>
      <c r="E7" s="908"/>
      <c r="F7" s="908"/>
      <c r="G7" s="908"/>
      <c r="H7" s="908"/>
      <c r="I7" s="909"/>
      <c r="J7" s="918"/>
    </row>
    <row r="8" spans="1:14">
      <c r="B8" s="851" t="s">
        <v>83</v>
      </c>
      <c r="C8" s="852"/>
      <c r="D8" s="904" t="str">
        <f>IF(Projektgrundlagen!E8="","",Projektgrundlagen!E8)</f>
        <v/>
      </c>
      <c r="E8" s="904"/>
      <c r="F8" s="904"/>
      <c r="G8" s="904"/>
      <c r="H8" s="904"/>
      <c r="I8" s="905"/>
      <c r="J8" s="918"/>
    </row>
    <row r="9" spans="1:14">
      <c r="B9" s="269"/>
      <c r="C9" s="269"/>
      <c r="D9" s="288"/>
      <c r="E9" s="288"/>
      <c r="F9" s="288"/>
      <c r="G9" s="288"/>
      <c r="H9" s="288"/>
      <c r="I9" s="288"/>
    </row>
    <row r="10" spans="1:14" ht="22.5" customHeight="1">
      <c r="B10" s="363"/>
      <c r="C10" s="910" t="s">
        <v>210</v>
      </c>
      <c r="D10" s="910"/>
      <c r="E10" s="910"/>
      <c r="F10" s="910"/>
      <c r="G10" s="910"/>
      <c r="H10" s="910"/>
      <c r="I10" s="363"/>
    </row>
    <row r="11" spans="1:14" ht="7.5" customHeight="1">
      <c r="A11" s="727"/>
      <c r="B11" s="292"/>
      <c r="C11" s="292"/>
      <c r="D11" s="286"/>
      <c r="E11" s="286"/>
      <c r="F11" s="286"/>
      <c r="G11" s="286"/>
      <c r="H11" s="286"/>
      <c r="I11" s="284"/>
    </row>
    <row r="12" spans="1:14" ht="16.5" customHeight="1" thickBot="1">
      <c r="A12" s="731" t="str">
        <f>IF(COUNTIF($K$12:$K$15,TRUE)&lt;&gt;1,"è","")</f>
        <v/>
      </c>
      <c r="B12" s="51"/>
      <c r="C12" s="268" t="s">
        <v>370</v>
      </c>
      <c r="D12" s="367"/>
      <c r="E12" s="367"/>
      <c r="F12" s="367"/>
      <c r="G12" s="367"/>
      <c r="H12" s="368"/>
      <c r="I12" s="501"/>
      <c r="J12" s="33"/>
      <c r="K12" s="81" t="b">
        <v>1</v>
      </c>
    </row>
    <row r="13" spans="1:14" ht="16.5" customHeight="1" thickBot="1">
      <c r="A13" s="731"/>
      <c r="B13" s="19"/>
      <c r="C13" s="369"/>
      <c r="D13" s="370"/>
      <c r="E13" s="370"/>
      <c r="F13" s="370"/>
      <c r="G13" s="370"/>
      <c r="H13" s="371" t="s">
        <v>34</v>
      </c>
      <c r="I13" s="519">
        <v>2</v>
      </c>
      <c r="J13" s="33"/>
      <c r="K13" s="81"/>
    </row>
    <row r="14" spans="1:14" ht="7.5" customHeight="1">
      <c r="A14" s="731"/>
      <c r="B14" s="141"/>
      <c r="C14" s="138"/>
      <c r="D14" s="139"/>
      <c r="E14" s="139"/>
      <c r="F14" s="139"/>
      <c r="G14" s="139"/>
      <c r="H14" s="140"/>
      <c r="I14" s="299"/>
      <c r="J14" s="33"/>
      <c r="K14" s="81"/>
    </row>
    <row r="15" spans="1:14" ht="16">
      <c r="A15" s="731" t="str">
        <f>IF(COUNTIF($K$12:$K$15,TRUE)&lt;&gt;1,"è","")</f>
        <v/>
      </c>
      <c r="B15" s="51"/>
      <c r="C15" s="156" t="s">
        <v>371</v>
      </c>
      <c r="D15" s="16"/>
      <c r="E15" s="39"/>
      <c r="F15" s="39"/>
      <c r="G15" s="39"/>
      <c r="H15" s="39"/>
      <c r="I15" s="40"/>
      <c r="K15" s="81" t="b">
        <v>0</v>
      </c>
    </row>
    <row r="16" spans="1:14" ht="25.5" customHeight="1">
      <c r="B16" s="11"/>
      <c r="C16" s="300" t="s">
        <v>14</v>
      </c>
      <c r="D16" s="928" t="s">
        <v>270</v>
      </c>
      <c r="E16" s="929"/>
      <c r="F16" s="929"/>
      <c r="G16" s="929"/>
      <c r="H16" s="930"/>
      <c r="I16" s="43" t="s">
        <v>42</v>
      </c>
    </row>
    <row r="17" spans="2:9" ht="24" customHeight="1">
      <c r="B17" s="11"/>
      <c r="C17" s="55"/>
      <c r="D17" s="17" t="s">
        <v>60</v>
      </c>
      <c r="E17" s="931" t="s">
        <v>61</v>
      </c>
      <c r="F17" s="932"/>
      <c r="G17" s="931" t="s">
        <v>379</v>
      </c>
      <c r="H17" s="932"/>
      <c r="I17" s="54"/>
    </row>
    <row r="18" spans="2:9" ht="48.75" customHeight="1">
      <c r="B18" s="11"/>
      <c r="C18" s="47" t="s">
        <v>380</v>
      </c>
      <c r="D18" s="79"/>
      <c r="E18" s="933"/>
      <c r="F18" s="934"/>
      <c r="G18" s="933"/>
      <c r="H18" s="934"/>
      <c r="I18" s="53">
        <f>IF(K15,IF(COUNT(D18:H18)&lt;&gt;1,0,IF(OR(AND(D18&lt;&gt;"",D18&lt;1,D18&gt;2),AND(E18&lt;&gt;"",OR(E18&lt;3,E18&gt;4)),AND(G18&lt;&gt;"",OR(G18&lt;5,G18&gt;6))),0,SUM(D18:H18))),0)</f>
        <v>0</v>
      </c>
    </row>
    <row r="19" spans="2:9" ht="16.5" customHeight="1">
      <c r="B19" s="11"/>
      <c r="C19" s="18" t="s">
        <v>292</v>
      </c>
      <c r="D19" s="18" t="s">
        <v>15</v>
      </c>
      <c r="E19" s="935" t="s">
        <v>388</v>
      </c>
      <c r="F19" s="936"/>
      <c r="G19" s="935" t="s">
        <v>16</v>
      </c>
      <c r="H19" s="936"/>
      <c r="I19" s="18"/>
    </row>
    <row r="20" spans="2:9" ht="24" customHeight="1">
      <c r="B20" s="11"/>
      <c r="C20" s="55"/>
      <c r="D20" s="17" t="s">
        <v>376</v>
      </c>
      <c r="E20" s="931" t="s">
        <v>61</v>
      </c>
      <c r="F20" s="932"/>
      <c r="G20" s="931" t="s">
        <v>378</v>
      </c>
      <c r="H20" s="932"/>
      <c r="I20" s="54"/>
    </row>
    <row r="21" spans="2:9" ht="48.75" customHeight="1">
      <c r="B21" s="11"/>
      <c r="C21" s="47" t="s">
        <v>381</v>
      </c>
      <c r="D21" s="79"/>
      <c r="E21" s="933"/>
      <c r="F21" s="934"/>
      <c r="G21" s="933"/>
      <c r="H21" s="934"/>
      <c r="I21" s="53">
        <f>IF(K15,IF(COUNT(D21:H21)&lt;&gt;1,0,IF(OR(AND(D21&lt;&gt;"",D21&lt;1,D21&gt;2),AND(E21&lt;&gt;"",OR(E21&lt;3,E21&gt;4)),AND(G21&lt;&gt;"",OR(G21&lt;5,G21&gt;6))),0,SUM(D21:H21))),0)</f>
        <v>0</v>
      </c>
    </row>
    <row r="22" spans="2:9" ht="16.5" customHeight="1">
      <c r="B22" s="11"/>
      <c r="C22" s="18" t="s">
        <v>292</v>
      </c>
      <c r="D22" s="18" t="s">
        <v>15</v>
      </c>
      <c r="E22" s="935" t="s">
        <v>388</v>
      </c>
      <c r="F22" s="936"/>
      <c r="G22" s="935" t="s">
        <v>16</v>
      </c>
      <c r="H22" s="936"/>
      <c r="I22" s="18"/>
    </row>
    <row r="23" spans="2:9" ht="24" customHeight="1">
      <c r="B23" s="11"/>
      <c r="C23" s="55"/>
      <c r="D23" s="17" t="s">
        <v>375</v>
      </c>
      <c r="E23" s="931" t="s">
        <v>61</v>
      </c>
      <c r="F23" s="932"/>
      <c r="G23" s="931" t="s">
        <v>377</v>
      </c>
      <c r="H23" s="932"/>
      <c r="I23" s="54"/>
    </row>
    <row r="24" spans="2:9" ht="48.75" customHeight="1">
      <c r="B24" s="11"/>
      <c r="C24" s="47" t="s">
        <v>382</v>
      </c>
      <c r="D24" s="79"/>
      <c r="E24" s="933"/>
      <c r="F24" s="934"/>
      <c r="G24" s="933"/>
      <c r="H24" s="934"/>
      <c r="I24" s="53">
        <f>IF(K15,IF(COUNT(D24:H24)&lt;&gt;1,0,IF(OR(AND(D24&lt;&gt;"",D24&lt;1,D24&gt;2),AND(E24&lt;&gt;"",OR(E24&lt;3,E24&gt;4)),AND(G24&lt;&gt;"",OR(G24&lt;5,G24&gt;6))),0,SUM(D24:H24))),0)</f>
        <v>0</v>
      </c>
    </row>
    <row r="25" spans="2:9" ht="16.5" customHeight="1">
      <c r="B25" s="11"/>
      <c r="C25" s="18" t="s">
        <v>292</v>
      </c>
      <c r="D25" s="18" t="s">
        <v>15</v>
      </c>
      <c r="E25" s="937" t="s">
        <v>388</v>
      </c>
      <c r="F25" s="938"/>
      <c r="G25" s="939" t="s">
        <v>16</v>
      </c>
      <c r="H25" s="940"/>
      <c r="I25" s="18"/>
    </row>
    <row r="26" spans="2:9">
      <c r="B26" s="11"/>
      <c r="C26" s="55"/>
      <c r="D26" s="17" t="s">
        <v>60</v>
      </c>
      <c r="E26" s="931" t="s">
        <v>61</v>
      </c>
      <c r="F26" s="932"/>
      <c r="G26" s="931" t="s">
        <v>62</v>
      </c>
      <c r="H26" s="932"/>
      <c r="I26" s="54"/>
    </row>
    <row r="27" spans="2:9" ht="48.65" customHeight="1">
      <c r="B27" s="11"/>
      <c r="C27" s="47" t="s">
        <v>383</v>
      </c>
      <c r="D27" s="79"/>
      <c r="E27" s="933"/>
      <c r="F27" s="934"/>
      <c r="G27" s="933"/>
      <c r="H27" s="934"/>
      <c r="I27" s="53">
        <f>IF(K15,IF(COUNT(D27:H27)&lt;&gt;1,0,IF(OR(AND(D27&lt;&gt;"",D27&lt;1,D27&gt;2),AND(E27&lt;&gt;"",OR(E27&lt;3,E27&gt;4)),AND(G27&lt;&gt;"",OR(G27&lt;5,G27&gt;6))),0,SUM(D27:H27))),0)</f>
        <v>0</v>
      </c>
    </row>
    <row r="28" spans="2:9" ht="16.5" customHeight="1">
      <c r="B28" s="11"/>
      <c r="C28" s="18" t="s">
        <v>292</v>
      </c>
      <c r="D28" s="18" t="s">
        <v>15</v>
      </c>
      <c r="E28" s="935" t="s">
        <v>388</v>
      </c>
      <c r="F28" s="936"/>
      <c r="G28" s="935" t="s">
        <v>16</v>
      </c>
      <c r="H28" s="936"/>
      <c r="I28" s="18"/>
    </row>
    <row r="29" spans="2:9">
      <c r="B29" s="11"/>
      <c r="C29" s="55"/>
      <c r="D29" s="17" t="s">
        <v>60</v>
      </c>
      <c r="E29" s="931" t="s">
        <v>61</v>
      </c>
      <c r="F29" s="932"/>
      <c r="G29" s="931" t="s">
        <v>62</v>
      </c>
      <c r="H29" s="932"/>
      <c r="I29" s="54"/>
    </row>
    <row r="30" spans="2:9" ht="48.65" customHeight="1">
      <c r="B30" s="11"/>
      <c r="C30" s="47" t="s">
        <v>384</v>
      </c>
      <c r="D30" s="79"/>
      <c r="E30" s="933"/>
      <c r="F30" s="934"/>
      <c r="G30" s="933"/>
      <c r="H30" s="934"/>
      <c r="I30" s="53">
        <f>IF(K15,IF(COUNT(D30:H30)&lt;&gt;1,0,IF(OR(AND(D30&lt;&gt;"",D30&lt;1,D30&gt;3),AND(E30&lt;&gt;"",OR(E30&lt;4,E30&gt;6)),AND(G30&lt;&gt;"",OR(G30&lt;7,G30&gt;9))),0,SUM(D30:H30))),0)</f>
        <v>0</v>
      </c>
    </row>
    <row r="31" spans="2:9" ht="16.5" customHeight="1">
      <c r="B31" s="11"/>
      <c r="C31" s="18" t="s">
        <v>385</v>
      </c>
      <c r="D31" s="18" t="s">
        <v>387</v>
      </c>
      <c r="E31" s="935" t="s">
        <v>389</v>
      </c>
      <c r="F31" s="936"/>
      <c r="G31" s="935" t="s">
        <v>390</v>
      </c>
      <c r="H31" s="936"/>
      <c r="I31" s="18"/>
    </row>
    <row r="32" spans="2:9">
      <c r="B32" s="11"/>
      <c r="C32" s="55"/>
      <c r="D32" s="17" t="s">
        <v>60</v>
      </c>
      <c r="E32" s="931" t="s">
        <v>61</v>
      </c>
      <c r="F32" s="932"/>
      <c r="G32" s="931" t="s">
        <v>62</v>
      </c>
      <c r="H32" s="932"/>
      <c r="I32" s="54"/>
    </row>
    <row r="33" spans="1:14" ht="48.75" customHeight="1">
      <c r="B33" s="11"/>
      <c r="C33" s="47" t="s">
        <v>386</v>
      </c>
      <c r="D33" s="79"/>
      <c r="E33" s="933"/>
      <c r="F33" s="934"/>
      <c r="G33" s="933"/>
      <c r="H33" s="934"/>
      <c r="I33" s="53">
        <f>IF(K15,IF(COUNT(D33:H33)&lt;&gt;1,0,IF(OR(AND(D33&lt;&gt;"",D33&lt;1,D33&gt;3),AND(E33&lt;&gt;"",OR(E33&lt;4,E33&gt;6)),AND(G33&lt;&gt;"",OR(G33&lt;7,G33&gt;9))),0,SUM(D33:H33))),0)</f>
        <v>0</v>
      </c>
    </row>
    <row r="34" spans="1:14" ht="16.5" customHeight="1">
      <c r="B34" s="11"/>
      <c r="C34" s="18" t="s">
        <v>385</v>
      </c>
      <c r="D34" s="18" t="s">
        <v>387</v>
      </c>
      <c r="E34" s="935" t="s">
        <v>389</v>
      </c>
      <c r="F34" s="936"/>
      <c r="G34" s="935" t="s">
        <v>390</v>
      </c>
      <c r="H34" s="936"/>
      <c r="I34" s="18"/>
    </row>
    <row r="35" spans="1:14" s="20" customFormat="1" ht="16.5" customHeight="1" thickBot="1">
      <c r="A35" s="729"/>
      <c r="B35" s="19"/>
      <c r="C35" s="372"/>
      <c r="H35" s="76" t="s">
        <v>35</v>
      </c>
      <c r="I35" s="298">
        <f>IF(OR(AND(K15,K12),AND(NOT(K15),NOT(K12))),0,IF(K15,IF(COUNTIF(I18:I33,"&gt;0")=6,SUM(I18:I33),0),0))</f>
        <v>0</v>
      </c>
    </row>
    <row r="36" spans="1:14" s="20" customFormat="1" ht="16.5" customHeight="1" thickBot="1">
      <c r="A36" s="729"/>
      <c r="B36" s="541"/>
      <c r="C36" s="542"/>
      <c r="D36" s="543"/>
      <c r="E36" s="543"/>
      <c r="F36" s="543"/>
      <c r="G36" s="543"/>
      <c r="H36" s="371" t="s">
        <v>34</v>
      </c>
      <c r="I36" s="520">
        <f>IF(NOT(K15),0,IF(I35&lt;1,0,IF(I35&lt;=16,1,IF(I35&lt;=30,2,3))))</f>
        <v>0</v>
      </c>
      <c r="J36" s="33"/>
      <c r="K36" s="33"/>
      <c r="L36" s="33"/>
      <c r="M36" s="33"/>
      <c r="N36" s="33"/>
    </row>
    <row r="37" spans="1:14" ht="12.5">
      <c r="A37" s="730"/>
      <c r="B37" s="11"/>
      <c r="C37" s="14" t="s">
        <v>105</v>
      </c>
      <c r="D37" s="14"/>
      <c r="F37" s="22"/>
      <c r="G37" s="14"/>
      <c r="I37" s="21"/>
    </row>
    <row r="38" spans="1:14" ht="13">
      <c r="A38" s="730"/>
      <c r="B38" s="11"/>
      <c r="C38" s="143" t="s">
        <v>372</v>
      </c>
      <c r="D38" s="14"/>
      <c r="F38" s="52"/>
      <c r="G38" s="52"/>
      <c r="I38" s="21"/>
    </row>
    <row r="39" spans="1:14" ht="13">
      <c r="A39" s="730"/>
      <c r="B39" s="11"/>
      <c r="C39" s="143" t="s">
        <v>373</v>
      </c>
      <c r="D39" s="14"/>
      <c r="F39" s="52"/>
      <c r="G39" s="52"/>
      <c r="I39" s="21"/>
    </row>
    <row r="40" spans="1:14" ht="13">
      <c r="A40" s="730"/>
      <c r="B40" s="97"/>
      <c r="C40" s="538" t="s">
        <v>374</v>
      </c>
      <c r="D40" s="539"/>
      <c r="E40" s="8"/>
      <c r="F40" s="540"/>
      <c r="G40" s="540"/>
      <c r="H40" s="8"/>
      <c r="I40" s="25"/>
    </row>
    <row r="41" spans="1:14"/>
    <row r="43" spans="1:14" ht="12" hidden="1" customHeight="1"/>
    <row r="53"/>
    <row r="54"/>
    <row r="55"/>
    <row r="56"/>
    <row r="57"/>
  </sheetData>
  <sheetProtection sheet="1" formatRows="0"/>
  <dataConsolidate/>
  <mergeCells count="52">
    <mergeCell ref="G34:H34"/>
    <mergeCell ref="G29:H29"/>
    <mergeCell ref="G30:H30"/>
    <mergeCell ref="G31:H31"/>
    <mergeCell ref="G32:H32"/>
    <mergeCell ref="G33:H33"/>
    <mergeCell ref="E31:F31"/>
    <mergeCell ref="E32:F32"/>
    <mergeCell ref="E33:F33"/>
    <mergeCell ref="E34:F34"/>
    <mergeCell ref="G17:H17"/>
    <mergeCell ref="G18:H18"/>
    <mergeCell ref="G19:H19"/>
    <mergeCell ref="G20:H20"/>
    <mergeCell ref="G21:H21"/>
    <mergeCell ref="G22:H22"/>
    <mergeCell ref="G23:H23"/>
    <mergeCell ref="G24:H24"/>
    <mergeCell ref="G25:H25"/>
    <mergeCell ref="G26:H26"/>
    <mergeCell ref="G27:H27"/>
    <mergeCell ref="G28:H28"/>
    <mergeCell ref="E26:F26"/>
    <mergeCell ref="E27:F27"/>
    <mergeCell ref="E28:F28"/>
    <mergeCell ref="E29:F29"/>
    <mergeCell ref="E30:F30"/>
    <mergeCell ref="E21:F21"/>
    <mergeCell ref="E22:F22"/>
    <mergeCell ref="E23:F23"/>
    <mergeCell ref="E24:F24"/>
    <mergeCell ref="E25:F25"/>
    <mergeCell ref="D16:H16"/>
    <mergeCell ref="E17:F17"/>
    <mergeCell ref="E18:F18"/>
    <mergeCell ref="E19:F19"/>
    <mergeCell ref="E20:F20"/>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s>
  <conditionalFormatting sqref="B12">
    <cfRule type="expression" dxfId="484" priority="135">
      <formula>AND(K12,K15)</formula>
    </cfRule>
    <cfRule type="expression" dxfId="483" priority="134">
      <formula>AND(NOT(K12),NOT(K15))</formula>
    </cfRule>
  </conditionalFormatting>
  <conditionalFormatting sqref="B15">
    <cfRule type="expression" dxfId="482" priority="537">
      <formula>AND(K12,K15)</formula>
    </cfRule>
    <cfRule type="expression" dxfId="481" priority="536">
      <formula>AND(NOT(K12),NOT(K15))</formula>
    </cfRule>
  </conditionalFormatting>
  <conditionalFormatting sqref="D18">
    <cfRule type="expression" dxfId="480" priority="121">
      <formula>AND(D18&lt;&gt;"",D18&lt;1,D18&gt;2)</formula>
    </cfRule>
  </conditionalFormatting>
  <conditionalFormatting sqref="D21">
    <cfRule type="expression" dxfId="479" priority="105">
      <formula>AND(D21&lt;&gt;"",D21&lt;1,D21&gt;2)</formula>
    </cfRule>
    <cfRule type="expression" dxfId="478" priority="103">
      <formula>AND(NOT($K$12),$K18,COUNT($D21:$H21)&lt;1)</formula>
    </cfRule>
  </conditionalFormatting>
  <conditionalFormatting sqref="D24">
    <cfRule type="expression" dxfId="477" priority="95">
      <formula>AND(NOT($K$12),$K21,COUNT($D24:$H24)&lt;1)</formula>
    </cfRule>
    <cfRule type="expression" dxfId="476" priority="97">
      <formula>AND(D24&lt;&gt;"",D24&lt;1,D24&gt;2)</formula>
    </cfRule>
  </conditionalFormatting>
  <conditionalFormatting sqref="D27">
    <cfRule type="expression" dxfId="475" priority="89">
      <formula>AND(D27&lt;&gt;"",D27&lt;1,D27&gt;2)</formula>
    </cfRule>
    <cfRule type="expression" dxfId="474" priority="87">
      <formula>AND(NOT($K$12),$K24,COUNT($D27:$H27)&lt;1)</formula>
    </cfRule>
  </conditionalFormatting>
  <conditionalFormatting sqref="D30">
    <cfRule type="expression" dxfId="473" priority="79">
      <formula>AND(NOT($K$12),$K27,COUNT($D30:$H30)&lt;1)</formula>
    </cfRule>
    <cfRule type="expression" dxfId="472" priority="81">
      <formula>AND(D30&lt;&gt;"",D30&lt;1,D30&gt;3)</formula>
    </cfRule>
  </conditionalFormatting>
  <conditionalFormatting sqref="D33">
    <cfRule type="expression" dxfId="471" priority="12">
      <formula>AND(NOT($K$12),$K30,COUNT($D33:$H33)&lt;1)</formula>
    </cfRule>
    <cfRule type="expression" dxfId="470" priority="14">
      <formula>AND(D33&lt;&gt;"",D33&lt;1,D33&gt;3)</formula>
    </cfRule>
  </conditionalFormatting>
  <conditionalFormatting sqref="D18:H18">
    <cfRule type="expression" dxfId="469" priority="120">
      <formula>COUNT($D18:$H18)&gt;1</formula>
    </cfRule>
    <cfRule type="expression" dxfId="468" priority="119">
      <formula>AND(NOT($K$12),$K$15,COUNT($D18:$H18)&lt;1)</formula>
    </cfRule>
    <cfRule type="expression" dxfId="467" priority="118">
      <formula>IF(AND($K$15,NOT($K$12)),0,1)</formula>
    </cfRule>
  </conditionalFormatting>
  <conditionalFormatting sqref="D21:H21">
    <cfRule type="expression" dxfId="466" priority="55">
      <formula>IF(AND($K$15,NOT($K$12)),0,1)</formula>
    </cfRule>
    <cfRule type="expression" dxfId="465" priority="57">
      <formula>COUNT($D21:$H21)&gt;1</formula>
    </cfRule>
  </conditionalFormatting>
  <conditionalFormatting sqref="D24:H24">
    <cfRule type="expression" dxfId="464" priority="47">
      <formula>COUNT($D24:$H24)&gt;1</formula>
    </cfRule>
    <cfRule type="expression" dxfId="463" priority="45">
      <formula>IF(AND($K$15,NOT($K$12)),0,1)</formula>
    </cfRule>
  </conditionalFormatting>
  <conditionalFormatting sqref="D27:H27">
    <cfRule type="expression" dxfId="462" priority="35">
      <formula>IF(AND($K$15,NOT($K$12)),0,1)</formula>
    </cfRule>
    <cfRule type="expression" dxfId="461" priority="37">
      <formula>COUNT($D27:$H27)&gt;1</formula>
    </cfRule>
  </conditionalFormatting>
  <conditionalFormatting sqref="D30:H30">
    <cfRule type="expression" dxfId="460" priority="25">
      <formula>IF(AND($K$15,NOT($K$12)),0,1)</formula>
    </cfRule>
    <cfRule type="expression" dxfId="459" priority="27">
      <formula>COUNT($D30:$H30)&gt;1</formula>
    </cfRule>
  </conditionalFormatting>
  <conditionalFormatting sqref="D33:H33">
    <cfRule type="expression" dxfId="458" priority="3">
      <formula>COUNT($D33:$H33)&gt;1</formula>
    </cfRule>
    <cfRule type="expression" dxfId="457" priority="1">
      <formula>IF(AND($K$15,NOT($K$12)),0,1)</formula>
    </cfRule>
  </conditionalFormatting>
  <conditionalFormatting sqref="E18">
    <cfRule type="expression" dxfId="456" priority="190">
      <formula>AND(E18&lt;&gt;"",OR(E18&lt;3,E18&gt;4))</formula>
    </cfRule>
  </conditionalFormatting>
  <conditionalFormatting sqref="E21">
    <cfRule type="expression" dxfId="455" priority="64">
      <formula>AND(E21&lt;&gt;"",OR(E21&lt;3,E21&gt;4))</formula>
    </cfRule>
  </conditionalFormatting>
  <conditionalFormatting sqref="E24">
    <cfRule type="expression" dxfId="454" priority="54">
      <formula>AND(E24&lt;&gt;"",OR(E24&lt;3,E24&gt;4))</formula>
    </cfRule>
  </conditionalFormatting>
  <conditionalFormatting sqref="E27">
    <cfRule type="expression" dxfId="453" priority="44">
      <formula>AND(E27&lt;&gt;"",OR(E27&lt;3,E27&gt;4))</formula>
    </cfRule>
  </conditionalFormatting>
  <conditionalFormatting sqref="E30">
    <cfRule type="expression" dxfId="452" priority="34">
      <formula>AND(E30&lt;&gt;"",OR(E30&lt;4,E30&gt;6))</formula>
    </cfRule>
  </conditionalFormatting>
  <conditionalFormatting sqref="E33">
    <cfRule type="expression" dxfId="451" priority="10">
      <formula>AND(E33&lt;&gt;"",OR(E33&lt;4,E33&gt;6))</formula>
    </cfRule>
  </conditionalFormatting>
  <conditionalFormatting sqref="E21:H21">
    <cfRule type="expression" dxfId="450" priority="56">
      <formula>AND(NOT($K$12),$K$15,COUNT($D21:$H21)&lt;1)</formula>
    </cfRule>
  </conditionalFormatting>
  <conditionalFormatting sqref="E24:H24">
    <cfRule type="expression" dxfId="449" priority="46">
      <formula>AND(NOT($K$12),$K$15,COUNT($D24:$H24)&lt;1)</formula>
    </cfRule>
  </conditionalFormatting>
  <conditionalFormatting sqref="E27:H27">
    <cfRule type="expression" dxfId="448" priority="36">
      <formula>AND(NOT($K$12),$K$15,COUNT($D27:$H27)&lt;1)</formula>
    </cfRule>
  </conditionalFormatting>
  <conditionalFormatting sqref="E30:H30">
    <cfRule type="expression" dxfId="447" priority="26">
      <formula>AND(NOT($K$12),$K$15,COUNT($D30:$H30)&lt;1)</formula>
    </cfRule>
  </conditionalFormatting>
  <conditionalFormatting sqref="E33:H33">
    <cfRule type="expression" dxfId="446" priority="2">
      <formula>AND(NOT($K$12),$K$15,COUNT($D33:$H33)&lt;1)</formula>
    </cfRule>
  </conditionalFormatting>
  <conditionalFormatting sqref="G18">
    <cfRule type="expression" dxfId="445" priority="185">
      <formula>AND(G18&lt;&gt;"",OR(G18&lt;5,G18&gt;6))</formula>
    </cfRule>
  </conditionalFormatting>
  <conditionalFormatting sqref="G21">
    <cfRule type="expression" dxfId="444" priority="59">
      <formula>AND(G21&lt;&gt;"",OR(G21&lt;5,G21&gt;6))</formula>
    </cfRule>
  </conditionalFormatting>
  <conditionalFormatting sqref="G24">
    <cfRule type="expression" dxfId="443" priority="49">
      <formula>AND(G24&lt;&gt;"",OR(G24&lt;5,G24&gt;6))</formula>
    </cfRule>
  </conditionalFormatting>
  <conditionalFormatting sqref="G27">
    <cfRule type="expression" dxfId="442" priority="39">
      <formula>AND(G27&lt;&gt;"",OR(G27&lt;5,G27&gt;6))</formula>
    </cfRule>
  </conditionalFormatting>
  <conditionalFormatting sqref="G30">
    <cfRule type="expression" dxfId="441" priority="29">
      <formula>AND(G30&lt;&gt;"",OR(G30&lt;7,G30&gt;9))</formula>
    </cfRule>
  </conditionalFormatting>
  <conditionalFormatting sqref="G33">
    <cfRule type="expression" dxfId="440" priority="5">
      <formula>AND(G33&lt;&gt;"",OR(G33&lt;7,G33&gt;9))</formula>
    </cfRule>
  </conditionalFormatting>
  <conditionalFormatting sqref="H13">
    <cfRule type="expression" dxfId="439" priority="125">
      <formula>AND($K$12,NOT($K$15))</formula>
    </cfRule>
  </conditionalFormatting>
  <conditionalFormatting sqref="H36">
    <cfRule type="expression" dxfId="438" priority="124">
      <formula>AND($K$15,NOT($K$12))</formula>
    </cfRule>
  </conditionalFormatting>
  <conditionalFormatting sqref="I13">
    <cfRule type="expression" dxfId="437" priority="122">
      <formula>AND(K12,NOT(K15),I13="")</formula>
    </cfRule>
    <cfRule type="expression" dxfId="436" priority="123">
      <formula>OR(COUNTIF(K12:K15,TRUE)&lt;&gt;1,NOT(K12))</formula>
    </cfRule>
    <cfRule type="expression" dxfId="435" priority="133">
      <formula>AND(K12,NOT(K15),I13&lt;&gt;"",OR(I13&lt;1,I13&gt;5))</formula>
    </cfRule>
  </conditionalFormatting>
  <conditionalFormatting sqref="I36">
    <cfRule type="expression" dxfId="434" priority="153">
      <formula>AND(NOT(K12),K15,I36=0)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12700</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265625" style="379" customWidth="1"/>
    <col min="2" max="2" width="3.26953125" style="165" customWidth="1"/>
    <col min="3" max="5" width="3.26953125" style="158" customWidth="1"/>
    <col min="6" max="6" width="51.7265625" style="158" customWidth="1"/>
    <col min="7" max="8" width="7.26953125" style="158" customWidth="1"/>
    <col min="9" max="9" width="12.26953125" style="158" customWidth="1"/>
    <col min="10" max="10" width="12.7265625" style="158" customWidth="1"/>
    <col min="11" max="11" width="2.7265625" style="158" customWidth="1"/>
    <col min="12" max="12" width="16.453125" style="159" hidden="1" customWidth="1"/>
    <col min="13" max="16384" width="18" style="158" hidden="1"/>
  </cols>
  <sheetData>
    <row r="1" spans="1:15" ht="16.5"/>
    <row r="2" spans="1:15" s="1" customFormat="1" ht="16.5" customHeight="1">
      <c r="A2" s="343"/>
      <c r="B2" s="876" t="str">
        <f>IF(Projektgrundlagen!B2="","",Projektgrundlagen!B2)</f>
        <v>Landschaftspflegerischer Begleitplan</v>
      </c>
      <c r="C2" s="876"/>
      <c r="D2" s="876"/>
      <c r="E2" s="876"/>
      <c r="F2" s="877"/>
      <c r="G2" s="981" t="str">
        <f>IF(Projektgrundlagen!F2="","",Projektgrundlagen!F2)</f>
        <v>VII.05.4-LBP</v>
      </c>
      <c r="H2" s="919"/>
      <c r="I2" s="919" t="s">
        <v>211</v>
      </c>
      <c r="J2" s="920"/>
      <c r="K2" s="976" t="s">
        <v>514</v>
      </c>
      <c r="L2" s="65" t="s">
        <v>39</v>
      </c>
      <c r="O2" s="157" t="s">
        <v>111</v>
      </c>
    </row>
    <row r="3" spans="1:15" s="1" customFormat="1" ht="16.5">
      <c r="A3" s="343"/>
      <c r="B3" s="853" t="s">
        <v>284</v>
      </c>
      <c r="C3" s="853"/>
      <c r="D3" s="853"/>
      <c r="E3" s="853"/>
      <c r="F3" s="854"/>
      <c r="G3" s="982" t="str">
        <f>IF(Projektgrundlagen!F3="","",Projektgrundlagen!F3)</f>
        <v>Vertragsnr.:</v>
      </c>
      <c r="H3" s="983"/>
      <c r="I3" s="978" t="str">
        <f>IF(Projektgrundlagen!G3="","",Projektgrundlagen!G3)</f>
        <v/>
      </c>
      <c r="J3" s="979"/>
      <c r="K3" s="976"/>
      <c r="L3" s="81"/>
      <c r="O3" s="1" t="str">
        <f ca="1">MID(CELL("dateiname",A2),FIND("]",CELL("dateiname",A2))+1,255)</f>
        <v>StB-C1 Grundlstg mSt</v>
      </c>
    </row>
    <row r="4" spans="1:15" s="1" customFormat="1" ht="7.5" customHeight="1">
      <c r="A4" s="343"/>
      <c r="B4" s="287"/>
      <c r="C4" s="287"/>
      <c r="D4" s="287"/>
      <c r="E4" s="287"/>
      <c r="F4" s="287"/>
      <c r="G4" s="120"/>
      <c r="H4" s="120"/>
      <c r="I4" s="146"/>
      <c r="J4" s="146"/>
      <c r="K4" s="976"/>
      <c r="L4" s="81"/>
    </row>
    <row r="5" spans="1:15" s="1" customFormat="1" ht="16.5">
      <c r="A5" s="343"/>
      <c r="B5" s="964" t="str">
        <f>IF(Projektgrundlagen!B5="","",Projektgrundlagen!B5)</f>
        <v>Maßnahmennr:</v>
      </c>
      <c r="C5" s="965"/>
      <c r="D5" s="965"/>
      <c r="E5" s="965"/>
      <c r="F5" s="308" t="str">
        <f>IF(Projektgrundlagen!E5="","",Projektgrundlagen!E5)</f>
        <v/>
      </c>
      <c r="G5" s="984" t="str">
        <f>IF(Projektgrundlagen!F5="","",Projektgrundlagen!F5)</f>
        <v>Vergabenr.:</v>
      </c>
      <c r="H5" s="984"/>
      <c r="I5" s="927" t="str">
        <f>IF(Projektgrundlagen!G5="","",Projektgrundlagen!G5)</f>
        <v/>
      </c>
      <c r="J5" s="980"/>
      <c r="K5" s="976"/>
      <c r="L5" s="81"/>
    </row>
    <row r="6" spans="1:15" s="1" customFormat="1" ht="16.5">
      <c r="A6" s="343"/>
      <c r="B6" s="966" t="str">
        <f>IF(Projektgrundlagen!B6="","",Projektgrundlagen!B6)</f>
        <v>Bauherr:</v>
      </c>
      <c r="C6" s="967"/>
      <c r="D6" s="967"/>
      <c r="E6" s="967"/>
      <c r="F6" s="970" t="str">
        <f>IF(Projektgrundlagen!E6="","",Projektgrundlagen!E6)</f>
        <v xml:space="preserve">Mittelfränkischen Eisenbahnbetriebs GmbH  </v>
      </c>
      <c r="G6" s="970"/>
      <c r="H6" s="970"/>
      <c r="I6" s="970"/>
      <c r="J6" s="971"/>
      <c r="K6" s="976"/>
      <c r="L6" s="81"/>
    </row>
    <row r="7" spans="1:15" s="1" customFormat="1" ht="16.5">
      <c r="A7" s="343"/>
      <c r="B7" s="968" t="str">
        <f>IF(Projektgrundlagen!B7="","",Projektgrundlagen!B7)</f>
        <v>Maßnahme:</v>
      </c>
      <c r="C7" s="969"/>
      <c r="D7" s="969"/>
      <c r="E7" s="969"/>
      <c r="F7" s="972" t="str">
        <f>IF(Projektgrundlagen!E7="","",Projektgrundlagen!E7)</f>
        <v>Reaktivierung der Bahnstrecke 5331 im Abschnitt Wilburgstetten - Dombühl für den SPNV</v>
      </c>
      <c r="G7" s="972"/>
      <c r="H7" s="972"/>
      <c r="I7" s="972"/>
      <c r="J7" s="973"/>
      <c r="K7" s="976"/>
      <c r="L7" s="81"/>
    </row>
    <row r="8" spans="1:15" s="1" customFormat="1" ht="16.5">
      <c r="A8" s="343"/>
      <c r="B8" s="962" t="str">
        <f>IF(Projektgrundlagen!B8="","",Projektgrundlagen!B8)</f>
        <v>Bieter:</v>
      </c>
      <c r="C8" s="963"/>
      <c r="D8" s="963"/>
      <c r="E8" s="963"/>
      <c r="F8" s="960" t="str">
        <f>IF(Projektgrundlagen!E8="","",Projektgrundlagen!E8)</f>
        <v/>
      </c>
      <c r="G8" s="960"/>
      <c r="H8" s="960"/>
      <c r="I8" s="960"/>
      <c r="J8" s="961"/>
      <c r="K8" s="976"/>
      <c r="L8" s="81"/>
    </row>
    <row r="9" spans="1:15" ht="16.5"/>
    <row r="10" spans="1:15" ht="27" customHeight="1">
      <c r="B10" s="977" t="s">
        <v>229</v>
      </c>
      <c r="C10" s="977"/>
      <c r="D10" s="977"/>
      <c r="E10" s="977"/>
      <c r="F10" s="977"/>
      <c r="G10" s="416"/>
      <c r="H10" s="417"/>
      <c r="I10" s="737" t="s">
        <v>249</v>
      </c>
      <c r="J10" s="738" t="s">
        <v>247</v>
      </c>
    </row>
    <row r="11" spans="1:15" s="83" customFormat="1" ht="27" customHeight="1">
      <c r="A11" s="380"/>
      <c r="B11" s="595" t="s">
        <v>183</v>
      </c>
      <c r="C11" s="596"/>
      <c r="D11" s="596"/>
      <c r="E11" s="596"/>
      <c r="F11" s="596"/>
      <c r="G11" s="597"/>
      <c r="H11" s="598" t="str">
        <f>IF(Projektgrundlagen!$I$26,"","Grundleistungen Straßenbau sind nicht Teil dieser Honorarermittlung!")</f>
        <v>Grundleistungen Straßenbau sind nicht Teil dieser Honorarermittlung!</v>
      </c>
      <c r="I11" s="601" t="s">
        <v>182</v>
      </c>
      <c r="J11" s="602" t="s">
        <v>182</v>
      </c>
      <c r="L11" s="84"/>
      <c r="M11" s="135"/>
    </row>
    <row r="12" spans="1:15" ht="7.5" customHeight="1">
      <c r="B12" s="644"/>
      <c r="C12" s="645"/>
      <c r="D12" s="645"/>
      <c r="E12" s="645"/>
      <c r="F12" s="645"/>
      <c r="G12" s="645"/>
      <c r="H12" s="645"/>
      <c r="I12" s="645"/>
      <c r="J12" s="645"/>
      <c r="M12" s="725"/>
    </row>
    <row r="13" spans="1:15" ht="16">
      <c r="A13" s="731" t="str">
        <f>IF(COUNTIF($L$13:$L$14,TRUE)&gt;1,"è","")</f>
        <v/>
      </c>
      <c r="B13" s="586"/>
      <c r="C13" s="586"/>
      <c r="D13" s="974" t="s">
        <v>396</v>
      </c>
      <c r="E13" s="974"/>
      <c r="F13" s="974"/>
      <c r="G13" s="974"/>
      <c r="H13" s="974"/>
      <c r="I13" s="974"/>
      <c r="J13" s="975"/>
      <c r="L13" s="165" t="b">
        <f>Projektgrundlagen!I19</f>
        <v>0</v>
      </c>
      <c r="M13" s="109"/>
    </row>
    <row r="14" spans="1:15" ht="16">
      <c r="A14" s="731" t="str">
        <f>IF(COUNTIF($L$13:$L$14,TRUE)&gt;1,"è","")</f>
        <v/>
      </c>
      <c r="B14" s="586"/>
      <c r="C14" s="586"/>
      <c r="D14" s="974" t="s">
        <v>397</v>
      </c>
      <c r="E14" s="974"/>
      <c r="F14" s="974"/>
      <c r="G14" s="974"/>
      <c r="H14" s="974"/>
      <c r="I14" s="974"/>
      <c r="J14" s="975"/>
      <c r="L14" s="165" t="b">
        <f>Projektgrundlagen!I21</f>
        <v>1</v>
      </c>
    </row>
    <row r="15" spans="1:15" ht="7.5" customHeight="1">
      <c r="D15" s="208"/>
      <c r="G15" s="208"/>
      <c r="H15" s="208"/>
    </row>
    <row r="16" spans="1:15" s="160" customFormat="1" ht="22.75" customHeight="1">
      <c r="A16" s="381"/>
      <c r="B16" s="387" t="s">
        <v>515</v>
      </c>
      <c r="C16" s="388"/>
      <c r="D16" s="388"/>
      <c r="E16" s="388"/>
      <c r="F16" s="388"/>
      <c r="G16" s="389"/>
      <c r="H16" s="389"/>
      <c r="I16" s="390"/>
      <c r="J16" s="391"/>
      <c r="L16" s="161"/>
    </row>
    <row r="17" spans="1:13" ht="7.5" customHeight="1">
      <c r="D17" s="208"/>
      <c r="G17" s="208"/>
      <c r="H17" s="208"/>
    </row>
    <row r="18" spans="1:13" s="160" customFormat="1" ht="22.75" customHeight="1">
      <c r="A18" s="381"/>
      <c r="B18" s="387" t="s">
        <v>398</v>
      </c>
      <c r="C18" s="388"/>
      <c r="D18" s="388"/>
      <c r="E18" s="388"/>
      <c r="F18" s="388"/>
      <c r="G18" s="389"/>
      <c r="H18" s="389"/>
      <c r="I18" s="390"/>
      <c r="J18" s="391"/>
      <c r="L18" s="161"/>
    </row>
    <row r="19" spans="1:13" ht="17.5">
      <c r="B19" s="162"/>
      <c r="C19" s="780" t="s">
        <v>155</v>
      </c>
      <c r="D19" s="781"/>
      <c r="E19" s="949" t="s">
        <v>400</v>
      </c>
      <c r="F19" s="949"/>
      <c r="G19" s="949"/>
      <c r="H19" s="316"/>
      <c r="I19" s="505">
        <v>0.5</v>
      </c>
      <c r="J19" s="318">
        <f>IF(L19,I19,0)</f>
        <v>0</v>
      </c>
      <c r="L19" s="159" t="b">
        <v>0</v>
      </c>
    </row>
    <row r="20" spans="1:13" ht="16.5">
      <c r="B20" s="144"/>
      <c r="C20" s="217"/>
      <c r="D20" s="510"/>
      <c r="E20" s="948" t="s">
        <v>401</v>
      </c>
      <c r="F20" s="948"/>
      <c r="G20" s="948"/>
      <c r="H20" s="276"/>
      <c r="I20" s="506"/>
      <c r="J20" s="164"/>
    </row>
    <row r="21" spans="1:13" ht="15.5">
      <c r="A21" s="188"/>
      <c r="B21" s="215"/>
      <c r="C21" s="216"/>
      <c r="D21" s="511"/>
      <c r="E21" s="944" t="s">
        <v>416</v>
      </c>
      <c r="F21" s="945"/>
      <c r="G21" s="945"/>
      <c r="H21" s="945"/>
      <c r="I21" s="783"/>
      <c r="J21" s="784"/>
    </row>
    <row r="22" spans="1:13" ht="15.5">
      <c r="A22" s="188"/>
      <c r="B22" s="215"/>
      <c r="C22" s="216"/>
      <c r="D22" s="511"/>
      <c r="E22" s="810" t="s">
        <v>137</v>
      </c>
      <c r="F22" s="944" t="s">
        <v>417</v>
      </c>
      <c r="G22" s="944"/>
      <c r="H22" s="947"/>
      <c r="I22" s="783"/>
      <c r="J22" s="784"/>
    </row>
    <row r="23" spans="1:13" ht="15.5">
      <c r="A23" s="188"/>
      <c r="B23" s="215"/>
      <c r="C23" s="216"/>
      <c r="D23" s="511"/>
      <c r="E23" s="810" t="s">
        <v>137</v>
      </c>
      <c r="F23" s="944" t="s">
        <v>418</v>
      </c>
      <c r="G23" s="944"/>
      <c r="H23" s="947"/>
      <c r="I23" s="783"/>
      <c r="J23" s="784"/>
    </row>
    <row r="24" spans="1:13" ht="15.5">
      <c r="A24" s="188"/>
      <c r="B24" s="215"/>
      <c r="C24" s="216"/>
      <c r="D24" s="511"/>
      <c r="E24" s="810" t="s">
        <v>137</v>
      </c>
      <c r="F24" s="944" t="s">
        <v>419</v>
      </c>
      <c r="G24" s="944"/>
      <c r="H24" s="947"/>
      <c r="I24" s="783"/>
      <c r="J24" s="784"/>
    </row>
    <row r="25" spans="1:13" ht="15" customHeight="1">
      <c r="A25" s="188"/>
      <c r="B25" s="215"/>
      <c r="C25" s="216"/>
      <c r="D25" s="511"/>
      <c r="E25" s="810" t="s">
        <v>137</v>
      </c>
      <c r="F25" s="944" t="s">
        <v>420</v>
      </c>
      <c r="G25" s="944"/>
      <c r="H25" s="947"/>
      <c r="I25" s="783"/>
      <c r="J25" s="784"/>
    </row>
    <row r="26" spans="1:13" ht="15.5">
      <c r="A26" s="188"/>
      <c r="B26" s="215"/>
      <c r="C26" s="216"/>
      <c r="D26" s="511"/>
      <c r="E26" s="810" t="s">
        <v>137</v>
      </c>
      <c r="F26" s="944" t="s">
        <v>421</v>
      </c>
      <c r="G26" s="944"/>
      <c r="H26" s="947"/>
      <c r="I26" s="783"/>
      <c r="J26" s="784"/>
    </row>
    <row r="27" spans="1:13" ht="15.5">
      <c r="A27" s="188"/>
      <c r="B27" s="215"/>
      <c r="C27" s="216"/>
      <c r="D27" s="511"/>
      <c r="E27" s="810" t="s">
        <v>137</v>
      </c>
      <c r="F27" s="944" t="s">
        <v>422</v>
      </c>
      <c r="G27" s="944"/>
      <c r="H27" s="947"/>
      <c r="I27" s="783"/>
      <c r="J27" s="784"/>
    </row>
    <row r="28" spans="1:13" ht="15.5">
      <c r="A28" s="188"/>
      <c r="B28" s="215"/>
      <c r="C28" s="216"/>
      <c r="D28" s="511"/>
      <c r="E28" s="810" t="s">
        <v>137</v>
      </c>
      <c r="F28" s="944" t="s">
        <v>423</v>
      </c>
      <c r="G28" s="944"/>
      <c r="H28" s="947"/>
      <c r="I28" s="783"/>
      <c r="J28" s="784"/>
    </row>
    <row r="29" spans="1:13" ht="15.5">
      <c r="A29" s="188"/>
      <c r="B29" s="215"/>
      <c r="C29" s="216"/>
      <c r="D29" s="511"/>
      <c r="E29" s="944" t="s">
        <v>424</v>
      </c>
      <c r="F29" s="945"/>
      <c r="G29" s="945"/>
      <c r="H29" s="945"/>
      <c r="I29" s="783"/>
      <c r="J29" s="784"/>
    </row>
    <row r="30" spans="1:13" ht="17.5">
      <c r="B30" s="163"/>
      <c r="C30" s="780" t="s">
        <v>156</v>
      </c>
      <c r="D30" s="782"/>
      <c r="E30" s="951" t="s">
        <v>268</v>
      </c>
      <c r="F30" s="951"/>
      <c r="G30" s="951"/>
      <c r="H30" s="316"/>
      <c r="I30" s="507">
        <v>0.5</v>
      </c>
      <c r="J30" s="318">
        <f>IF(L30,I30,0)</f>
        <v>0</v>
      </c>
      <c r="L30" s="159" t="b">
        <v>0</v>
      </c>
    </row>
    <row r="31" spans="1:13" s="83" customFormat="1" ht="16.5" customHeight="1">
      <c r="A31" s="380"/>
      <c r="B31" s="144"/>
      <c r="C31" s="217"/>
      <c r="D31" s="510"/>
      <c r="E31" s="948"/>
      <c r="F31" s="948"/>
      <c r="G31" s="948"/>
      <c r="H31" s="276"/>
      <c r="I31" s="506"/>
      <c r="J31" s="164"/>
      <c r="L31" s="84"/>
      <c r="M31" s="136"/>
    </row>
    <row r="32" spans="1:13" ht="15.5">
      <c r="A32" s="188"/>
      <c r="B32" s="213"/>
      <c r="C32" s="189"/>
      <c r="D32" s="510"/>
      <c r="E32" s="944" t="s">
        <v>410</v>
      </c>
      <c r="F32" s="945"/>
      <c r="G32" s="945"/>
      <c r="H32" s="945"/>
      <c r="I32" s="783"/>
      <c r="J32" s="784"/>
    </row>
    <row r="33" spans="1:13" ht="17.5">
      <c r="B33" s="163"/>
      <c r="C33" s="780" t="s">
        <v>157</v>
      </c>
      <c r="D33" s="782"/>
      <c r="E33" s="951" t="s">
        <v>402</v>
      </c>
      <c r="F33" s="951"/>
      <c r="G33" s="951"/>
      <c r="H33" s="316"/>
      <c r="I33" s="507">
        <v>1</v>
      </c>
      <c r="J33" s="318">
        <f>IF(L33,I33,0)</f>
        <v>0</v>
      </c>
      <c r="L33" s="159" t="b">
        <v>0</v>
      </c>
    </row>
    <row r="34" spans="1:13" s="83" customFormat="1" ht="16.5" customHeight="1">
      <c r="A34" s="380"/>
      <c r="B34" s="144"/>
      <c r="C34" s="217"/>
      <c r="D34" s="510"/>
      <c r="E34" s="948" t="s">
        <v>403</v>
      </c>
      <c r="F34" s="948"/>
      <c r="G34" s="948"/>
      <c r="H34" s="276"/>
      <c r="I34" s="506"/>
      <c r="J34" s="164"/>
      <c r="L34" s="84"/>
      <c r="M34" s="136"/>
    </row>
    <row r="35" spans="1:13" ht="22.5" customHeight="1">
      <c r="A35" s="188"/>
      <c r="B35" s="213"/>
      <c r="C35" s="189"/>
      <c r="D35" s="511"/>
      <c r="E35" s="944" t="s">
        <v>412</v>
      </c>
      <c r="F35" s="944"/>
      <c r="G35" s="944"/>
      <c r="H35" s="947"/>
      <c r="I35" s="508"/>
      <c r="J35" s="164"/>
    </row>
    <row r="36" spans="1:13" ht="24" customHeight="1">
      <c r="A36" s="188"/>
      <c r="B36" s="213"/>
      <c r="C36" s="189"/>
      <c r="D36" s="511"/>
      <c r="E36" s="810" t="s">
        <v>137</v>
      </c>
      <c r="F36" s="944" t="s">
        <v>413</v>
      </c>
      <c r="G36" s="944"/>
      <c r="H36" s="947"/>
      <c r="I36" s="508"/>
      <c r="J36" s="164"/>
    </row>
    <row r="37" spans="1:13" ht="15" customHeight="1">
      <c r="A37" s="188"/>
      <c r="B37" s="213"/>
      <c r="C37" s="189"/>
      <c r="D37" s="511"/>
      <c r="E37" s="810" t="s">
        <v>137</v>
      </c>
      <c r="F37" s="944" t="s">
        <v>414</v>
      </c>
      <c r="G37" s="944"/>
      <c r="H37" s="947"/>
      <c r="I37" s="508"/>
      <c r="J37" s="164"/>
    </row>
    <row r="38" spans="1:13" ht="15" customHeight="1">
      <c r="A38" s="188"/>
      <c r="B38" s="213"/>
      <c r="C38" s="189"/>
      <c r="D38" s="511"/>
      <c r="E38" s="810" t="s">
        <v>137</v>
      </c>
      <c r="F38" s="953" t="s">
        <v>415</v>
      </c>
      <c r="G38" s="953"/>
      <c r="H38" s="954"/>
      <c r="I38" s="508"/>
      <c r="J38" s="164"/>
    </row>
    <row r="39" spans="1:13" ht="18" customHeight="1">
      <c r="B39" s="163"/>
      <c r="C39" s="780" t="s">
        <v>158</v>
      </c>
      <c r="D39" s="782" t="s">
        <v>52</v>
      </c>
      <c r="E39" s="951" t="s">
        <v>404</v>
      </c>
      <c r="F39" s="951"/>
      <c r="G39" s="951"/>
      <c r="H39" s="316"/>
      <c r="I39" s="507">
        <v>0.4</v>
      </c>
      <c r="J39" s="318">
        <f>IF(L39,I39,0)</f>
        <v>0</v>
      </c>
      <c r="L39" s="159" t="b">
        <v>0</v>
      </c>
    </row>
    <row r="40" spans="1:13" ht="16.5">
      <c r="B40" s="209"/>
      <c r="C40" s="217"/>
      <c r="D40" s="510"/>
      <c r="E40" s="948"/>
      <c r="F40" s="948"/>
      <c r="G40" s="948"/>
      <c r="H40" s="276"/>
      <c r="I40" s="506"/>
      <c r="J40" s="164"/>
    </row>
    <row r="41" spans="1:13" ht="27" customHeight="1">
      <c r="A41" s="188"/>
      <c r="B41" s="214"/>
      <c r="C41" s="320"/>
      <c r="D41" s="512"/>
      <c r="E41" s="953" t="s">
        <v>411</v>
      </c>
      <c r="F41" s="953"/>
      <c r="G41" s="953"/>
      <c r="H41" s="953"/>
      <c r="I41" s="509"/>
      <c r="J41" s="317"/>
    </row>
    <row r="42" spans="1:13" ht="18" customHeight="1">
      <c r="B42" s="163"/>
      <c r="C42" s="780" t="s">
        <v>159</v>
      </c>
      <c r="D42" s="782" t="s">
        <v>52</v>
      </c>
      <c r="E42" s="951" t="s">
        <v>405</v>
      </c>
      <c r="F42" s="951"/>
      <c r="G42" s="951"/>
      <c r="H42" s="316"/>
      <c r="I42" s="507">
        <v>0.4</v>
      </c>
      <c r="J42" s="318">
        <f>IF(L42,I42,0)</f>
        <v>0</v>
      </c>
      <c r="L42" s="159" t="b">
        <v>0</v>
      </c>
    </row>
    <row r="43" spans="1:13" ht="16.5">
      <c r="B43" s="209"/>
      <c r="C43" s="217"/>
      <c r="D43" s="510"/>
      <c r="E43" s="948" t="s">
        <v>406</v>
      </c>
      <c r="F43" s="948"/>
      <c r="G43" s="948"/>
      <c r="H43" s="276"/>
      <c r="I43" s="506"/>
      <c r="J43" s="164"/>
    </row>
    <row r="44" spans="1:13" ht="27" customHeight="1">
      <c r="A44" s="188"/>
      <c r="B44" s="214"/>
      <c r="C44" s="320"/>
      <c r="D44" s="512"/>
      <c r="E44" s="953" t="s">
        <v>640</v>
      </c>
      <c r="F44" s="953"/>
      <c r="G44" s="953"/>
      <c r="H44" s="953"/>
      <c r="I44" s="509"/>
      <c r="J44" s="317"/>
    </row>
    <row r="45" spans="1:13" ht="17.5">
      <c r="B45" s="603"/>
      <c r="C45" s="780" t="s">
        <v>160</v>
      </c>
      <c r="D45" s="782"/>
      <c r="E45" s="951" t="s">
        <v>408</v>
      </c>
      <c r="F45" s="951"/>
      <c r="G45" s="951"/>
      <c r="H45" s="316"/>
      <c r="I45" s="507">
        <v>0.2</v>
      </c>
      <c r="J45" s="318">
        <f>IF(L45,I45,0)</f>
        <v>0</v>
      </c>
      <c r="L45" s="159" t="b">
        <v>0</v>
      </c>
    </row>
    <row r="46" spans="1:13" ht="16.5">
      <c r="B46" s="209"/>
      <c r="C46" s="217"/>
      <c r="D46" s="510"/>
      <c r="E46" s="948" t="s">
        <v>407</v>
      </c>
      <c r="F46" s="948"/>
      <c r="G46" s="948"/>
      <c r="H46" s="276"/>
      <c r="I46" s="506"/>
      <c r="J46" s="164"/>
    </row>
    <row r="47" spans="1:13" s="83" customFormat="1" ht="16.5" customHeight="1" thickBot="1">
      <c r="A47" s="380"/>
      <c r="B47" s="155"/>
      <c r="C47" s="217"/>
      <c r="D47" s="510"/>
      <c r="E47" s="953" t="s">
        <v>409</v>
      </c>
      <c r="F47" s="953"/>
      <c r="G47" s="953"/>
      <c r="H47" s="953"/>
      <c r="I47" s="506"/>
      <c r="J47" s="164"/>
      <c r="L47" s="84"/>
      <c r="M47" s="136"/>
    </row>
    <row r="48" spans="1:13" ht="22.75" customHeight="1" thickBot="1">
      <c r="B48" s="941" t="s">
        <v>304</v>
      </c>
      <c r="C48" s="942"/>
      <c r="D48" s="942"/>
      <c r="E48" s="942"/>
      <c r="F48" s="942"/>
      <c r="G48" s="942"/>
      <c r="H48" s="943"/>
      <c r="I48" s="384">
        <f>IF(Projektgrundlagen!$I$26,SUM(I19:I47),0)</f>
        <v>0</v>
      </c>
      <c r="J48" s="385">
        <f>IF(Projektgrundlagen!$I$26,SUMIF(L19:L47,TRUE,J19:J47),0)</f>
        <v>0</v>
      </c>
    </row>
    <row r="49" spans="1:13" ht="7.5" customHeight="1"/>
    <row r="50" spans="1:13" s="160" customFormat="1" ht="22.75" customHeight="1">
      <c r="A50" s="381"/>
      <c r="B50" s="387" t="s">
        <v>399</v>
      </c>
      <c r="C50" s="388"/>
      <c r="D50" s="388"/>
      <c r="E50" s="388"/>
      <c r="F50" s="388"/>
      <c r="G50" s="390"/>
      <c r="H50" s="390"/>
      <c r="I50" s="392"/>
      <c r="J50" s="393"/>
      <c r="L50" s="161"/>
    </row>
    <row r="51" spans="1:13" ht="17.5">
      <c r="B51" s="163"/>
      <c r="C51" s="780" t="s">
        <v>155</v>
      </c>
      <c r="D51" s="781"/>
      <c r="E51" s="949" t="s">
        <v>427</v>
      </c>
      <c r="F51" s="949"/>
      <c r="G51" s="949"/>
      <c r="H51" s="321"/>
      <c r="I51" s="505">
        <v>12</v>
      </c>
      <c r="J51" s="318">
        <f>IF(L51,I51,0)</f>
        <v>0</v>
      </c>
      <c r="L51" s="159" t="b">
        <v>0</v>
      </c>
    </row>
    <row r="52" spans="1:13" s="83" customFormat="1" ht="42" customHeight="1">
      <c r="A52" s="380"/>
      <c r="B52" s="144"/>
      <c r="C52" s="217"/>
      <c r="D52" s="510"/>
      <c r="E52" s="948" t="s">
        <v>426</v>
      </c>
      <c r="F52" s="948"/>
      <c r="G52" s="948"/>
      <c r="H52" s="276"/>
      <c r="I52" s="506"/>
      <c r="J52" s="164"/>
      <c r="L52" s="84"/>
      <c r="M52" s="136"/>
    </row>
    <row r="53" spans="1:13" ht="50.25" customHeight="1">
      <c r="A53" s="188"/>
      <c r="B53" s="213"/>
      <c r="C53" s="189"/>
      <c r="D53" s="513"/>
      <c r="E53" s="944" t="s">
        <v>428</v>
      </c>
      <c r="F53" s="944"/>
      <c r="G53" s="944"/>
      <c r="H53" s="944"/>
      <c r="I53" s="515"/>
      <c r="J53" s="218"/>
    </row>
    <row r="54" spans="1:13" ht="40.5" customHeight="1">
      <c r="A54" s="188"/>
      <c r="B54" s="213"/>
      <c r="C54" s="189"/>
      <c r="D54" s="513"/>
      <c r="E54" s="944" t="s">
        <v>435</v>
      </c>
      <c r="F54" s="944"/>
      <c r="G54" s="944"/>
      <c r="H54" s="944"/>
      <c r="I54" s="515"/>
      <c r="J54" s="218"/>
    </row>
    <row r="55" spans="1:13" ht="27" customHeight="1">
      <c r="A55" s="188"/>
      <c r="B55" s="213"/>
      <c r="C55" s="189"/>
      <c r="D55" s="513"/>
      <c r="E55" s="944" t="s">
        <v>436</v>
      </c>
      <c r="F55" s="944"/>
      <c r="G55" s="944"/>
      <c r="H55" s="944"/>
      <c r="I55" s="515"/>
      <c r="J55" s="218"/>
    </row>
    <row r="56" spans="1:13" ht="40" customHeight="1">
      <c r="A56" s="188"/>
      <c r="B56" s="213"/>
      <c r="C56" s="189"/>
      <c r="D56" s="513"/>
      <c r="E56" s="944" t="s">
        <v>437</v>
      </c>
      <c r="F56" s="944"/>
      <c r="G56" s="944"/>
      <c r="H56" s="944"/>
      <c r="I56" s="515"/>
      <c r="J56" s="218"/>
    </row>
    <row r="57" spans="1:13" ht="40" customHeight="1">
      <c r="A57" s="188"/>
      <c r="B57" s="213"/>
      <c r="C57" s="189"/>
      <c r="D57" s="513"/>
      <c r="E57" s="944" t="s">
        <v>438</v>
      </c>
      <c r="F57" s="944"/>
      <c r="G57" s="944"/>
      <c r="H57" s="944"/>
      <c r="I57" s="515"/>
      <c r="J57" s="218"/>
    </row>
    <row r="58" spans="1:13" ht="15.5">
      <c r="A58" s="188"/>
      <c r="B58" s="213"/>
      <c r="C58" s="189"/>
      <c r="D58" s="513"/>
      <c r="E58" s="944" t="s">
        <v>439</v>
      </c>
      <c r="F58" s="944"/>
      <c r="G58" s="944"/>
      <c r="H58" s="944"/>
      <c r="I58" s="515"/>
      <c r="J58" s="218"/>
    </row>
    <row r="59" spans="1:13" ht="27" customHeight="1">
      <c r="A59" s="188"/>
      <c r="B59" s="213"/>
      <c r="C59" s="189"/>
      <c r="D59" s="513"/>
      <c r="E59" s="810" t="s">
        <v>137</v>
      </c>
      <c r="F59" s="944" t="s">
        <v>440</v>
      </c>
      <c r="G59" s="944"/>
      <c r="H59" s="947"/>
      <c r="I59" s="515"/>
      <c r="J59" s="218"/>
    </row>
    <row r="60" spans="1:13" ht="27" customHeight="1">
      <c r="A60" s="188"/>
      <c r="B60" s="213"/>
      <c r="C60" s="189"/>
      <c r="D60" s="513"/>
      <c r="E60" s="810" t="s">
        <v>137</v>
      </c>
      <c r="F60" s="944" t="s">
        <v>441</v>
      </c>
      <c r="G60" s="944"/>
      <c r="H60" s="947"/>
      <c r="I60" s="515"/>
      <c r="J60" s="218"/>
    </row>
    <row r="61" spans="1:13" ht="27" customHeight="1">
      <c r="A61" s="188"/>
      <c r="B61" s="213"/>
      <c r="C61" s="189"/>
      <c r="D61" s="513"/>
      <c r="E61" s="810" t="s">
        <v>137</v>
      </c>
      <c r="F61" s="944" t="s">
        <v>641</v>
      </c>
      <c r="G61" s="944"/>
      <c r="H61" s="947"/>
      <c r="I61" s="515"/>
      <c r="J61" s="218"/>
    </row>
    <row r="62" spans="1:13" ht="15.5">
      <c r="A62" s="188"/>
      <c r="B62" s="213"/>
      <c r="C62" s="189"/>
      <c r="D62" s="513"/>
      <c r="E62" s="810" t="s">
        <v>137</v>
      </c>
      <c r="F62" s="944" t="s">
        <v>442</v>
      </c>
      <c r="G62" s="944"/>
      <c r="H62" s="947"/>
      <c r="I62" s="515"/>
      <c r="J62" s="218"/>
    </row>
    <row r="63" spans="1:13" ht="15" customHeight="1">
      <c r="A63" s="188"/>
      <c r="B63" s="213"/>
      <c r="C63" s="189"/>
      <c r="D63" s="513"/>
      <c r="E63" s="810" t="s">
        <v>137</v>
      </c>
      <c r="F63" s="944" t="s">
        <v>443</v>
      </c>
      <c r="G63" s="944"/>
      <c r="H63" s="947"/>
      <c r="I63" s="515"/>
      <c r="J63" s="218"/>
    </row>
    <row r="64" spans="1:13" ht="15.5">
      <c r="A64" s="188"/>
      <c r="B64" s="213"/>
      <c r="C64" s="189"/>
      <c r="D64" s="513"/>
      <c r="E64" s="810" t="s">
        <v>137</v>
      </c>
      <c r="F64" s="944" t="s">
        <v>444</v>
      </c>
      <c r="G64" s="944"/>
      <c r="H64" s="947"/>
      <c r="I64" s="515"/>
      <c r="J64" s="218"/>
    </row>
    <row r="65" spans="1:13" ht="15.5">
      <c r="A65" s="188"/>
      <c r="B65" s="213"/>
      <c r="C65" s="189"/>
      <c r="D65" s="513"/>
      <c r="E65" s="810" t="s">
        <v>137</v>
      </c>
      <c r="F65" s="944" t="s">
        <v>445</v>
      </c>
      <c r="G65" s="944"/>
      <c r="H65" s="947"/>
      <c r="I65" s="515"/>
      <c r="J65" s="218"/>
    </row>
    <row r="66" spans="1:13" ht="15.5">
      <c r="A66" s="188"/>
      <c r="B66" s="213"/>
      <c r="C66" s="189"/>
      <c r="D66" s="513"/>
      <c r="E66" s="810" t="s">
        <v>137</v>
      </c>
      <c r="F66" s="944" t="s">
        <v>446</v>
      </c>
      <c r="G66" s="944"/>
      <c r="H66" s="947"/>
      <c r="I66" s="515"/>
      <c r="J66" s="218"/>
    </row>
    <row r="67" spans="1:13" ht="15.5">
      <c r="A67" s="188"/>
      <c r="B67" s="213"/>
      <c r="C67" s="189"/>
      <c r="D67" s="513"/>
      <c r="E67" s="810" t="s">
        <v>137</v>
      </c>
      <c r="F67" s="944" t="s">
        <v>447</v>
      </c>
      <c r="G67" s="944"/>
      <c r="H67" s="947"/>
      <c r="I67" s="515"/>
      <c r="J67" s="218"/>
    </row>
    <row r="68" spans="1:13" ht="39" customHeight="1">
      <c r="A68" s="188"/>
      <c r="B68" s="213"/>
      <c r="C68" s="189"/>
      <c r="D68" s="513"/>
      <c r="E68" s="810" t="s">
        <v>137</v>
      </c>
      <c r="F68" s="944" t="s">
        <v>448</v>
      </c>
      <c r="G68" s="944"/>
      <c r="H68" s="947"/>
      <c r="I68" s="515"/>
      <c r="J68" s="218"/>
    </row>
    <row r="69" spans="1:13" ht="17.5">
      <c r="B69" s="162"/>
      <c r="C69" s="780" t="s">
        <v>156</v>
      </c>
      <c r="D69" s="782"/>
      <c r="E69" s="951" t="s">
        <v>429</v>
      </c>
      <c r="F69" s="951"/>
      <c r="G69" s="951"/>
      <c r="H69" s="316"/>
      <c r="I69" s="507">
        <v>25</v>
      </c>
      <c r="J69" s="318">
        <f>IF(L69,I69,0)</f>
        <v>0</v>
      </c>
      <c r="L69" s="159" t="b">
        <v>0</v>
      </c>
    </row>
    <row r="70" spans="1:13" s="83" customFormat="1" ht="42" customHeight="1">
      <c r="A70" s="85"/>
      <c r="B70" s="144"/>
      <c r="C70" s="217"/>
      <c r="D70" s="510"/>
      <c r="E70" s="948" t="s">
        <v>430</v>
      </c>
      <c r="F70" s="948"/>
      <c r="G70" s="948"/>
      <c r="H70" s="276"/>
      <c r="I70" s="506"/>
      <c r="J70" s="164"/>
      <c r="L70" s="84"/>
      <c r="M70" s="136"/>
    </row>
    <row r="71" spans="1:13" ht="15.5">
      <c r="A71" s="188"/>
      <c r="B71" s="213"/>
      <c r="C71" s="189"/>
      <c r="D71" s="513"/>
      <c r="E71" s="944" t="s">
        <v>431</v>
      </c>
      <c r="F71" s="944"/>
      <c r="G71" s="944"/>
      <c r="H71" s="944"/>
      <c r="I71" s="515"/>
      <c r="J71" s="218"/>
    </row>
    <row r="72" spans="1:13" ht="27" customHeight="1">
      <c r="B72" s="213"/>
      <c r="C72" s="217"/>
      <c r="D72" s="510"/>
      <c r="E72" s="948" t="s">
        <v>432</v>
      </c>
      <c r="F72" s="948"/>
      <c r="G72" s="948"/>
      <c r="H72" s="276"/>
      <c r="I72" s="506"/>
      <c r="J72" s="164"/>
    </row>
    <row r="73" spans="1:13" ht="15.5">
      <c r="A73" s="188"/>
      <c r="B73" s="213"/>
      <c r="C73" s="216"/>
      <c r="D73" s="510"/>
      <c r="E73" s="945"/>
      <c r="F73" s="945"/>
      <c r="G73" s="945"/>
      <c r="H73" s="945"/>
      <c r="I73" s="508"/>
      <c r="J73" s="164"/>
    </row>
    <row r="74" spans="1:13" ht="27" customHeight="1">
      <c r="B74" s="213"/>
      <c r="C74" s="217"/>
      <c r="D74" s="510"/>
      <c r="E74" s="948" t="s">
        <v>433</v>
      </c>
      <c r="F74" s="948"/>
      <c r="G74" s="948"/>
      <c r="H74" s="276"/>
      <c r="I74" s="506"/>
      <c r="J74" s="164"/>
    </row>
    <row r="75" spans="1:13" ht="40.5" customHeight="1" thickBot="1">
      <c r="A75" s="188"/>
      <c r="B75" s="213"/>
      <c r="C75" s="216"/>
      <c r="D75" s="514"/>
      <c r="E75" s="945" t="s">
        <v>434</v>
      </c>
      <c r="F75" s="945"/>
      <c r="G75" s="945"/>
      <c r="H75" s="945"/>
      <c r="I75" s="508"/>
      <c r="J75" s="164"/>
    </row>
    <row r="76" spans="1:13" ht="22.75" customHeight="1" thickBot="1">
      <c r="B76" s="383"/>
      <c r="C76" s="942"/>
      <c r="D76" s="942"/>
      <c r="E76" s="942"/>
      <c r="F76" s="942" t="s">
        <v>425</v>
      </c>
      <c r="G76" s="942"/>
      <c r="H76" s="942"/>
      <c r="I76" s="384">
        <f>IF(Projektgrundlagen!$I$26,SUM(I51:I75),0)</f>
        <v>0</v>
      </c>
      <c r="J76" s="385">
        <f>IF(Projektgrundlagen!$I$26,SUMIF(L51:L75,TRUE,J51:J75),0)</f>
        <v>0</v>
      </c>
    </row>
    <row r="77" spans="1:13" ht="7.5" customHeight="1"/>
    <row r="78" spans="1:13" ht="22.75" customHeight="1">
      <c r="B78" s="387" t="s">
        <v>449</v>
      </c>
      <c r="C78" s="388"/>
      <c r="D78" s="388"/>
      <c r="E78" s="388"/>
      <c r="F78" s="388"/>
      <c r="G78" s="394"/>
      <c r="H78" s="394"/>
      <c r="I78" s="392"/>
      <c r="J78" s="393"/>
    </row>
    <row r="79" spans="1:13" ht="17.5">
      <c r="B79" s="163"/>
      <c r="C79" s="780" t="s">
        <v>155</v>
      </c>
      <c r="D79" s="781" t="s">
        <v>10</v>
      </c>
      <c r="E79" s="949" t="s">
        <v>516</v>
      </c>
      <c r="F79" s="949"/>
      <c r="G79" s="949"/>
      <c r="H79" s="316"/>
      <c r="I79" s="505">
        <v>10</v>
      </c>
      <c r="J79" s="318">
        <f>IF(L79,I79,0)</f>
        <v>0</v>
      </c>
      <c r="L79" s="159" t="b">
        <v>0</v>
      </c>
    </row>
    <row r="80" spans="1:13" ht="44.25" customHeight="1">
      <c r="B80" s="209"/>
      <c r="C80" s="217"/>
      <c r="D80" s="510"/>
      <c r="E80" s="948" t="s">
        <v>452</v>
      </c>
      <c r="F80" s="948"/>
      <c r="G80" s="948"/>
      <c r="H80" s="276"/>
      <c r="I80" s="506"/>
      <c r="J80" s="164"/>
    </row>
    <row r="81" spans="1:12" ht="40.5" customHeight="1">
      <c r="A81" s="188"/>
      <c r="B81" s="213"/>
      <c r="C81" s="189"/>
      <c r="D81" s="513"/>
      <c r="E81" s="810" t="s">
        <v>137</v>
      </c>
      <c r="F81" s="944" t="s">
        <v>454</v>
      </c>
      <c r="G81" s="944"/>
      <c r="H81" s="947"/>
      <c r="I81" s="515"/>
      <c r="J81" s="218"/>
    </row>
    <row r="82" spans="1:12" ht="40.5" customHeight="1">
      <c r="A82" s="188"/>
      <c r="B82" s="213"/>
      <c r="C82" s="189"/>
      <c r="D82" s="513"/>
      <c r="E82" s="810" t="s">
        <v>137</v>
      </c>
      <c r="F82" s="944" t="s">
        <v>455</v>
      </c>
      <c r="G82" s="944"/>
      <c r="H82" s="947"/>
      <c r="I82" s="515"/>
      <c r="J82" s="218"/>
    </row>
    <row r="83" spans="1:12" ht="17.5">
      <c r="B83" s="163"/>
      <c r="C83" s="780" t="s">
        <v>156</v>
      </c>
      <c r="D83" s="782"/>
      <c r="E83" s="951" t="s">
        <v>517</v>
      </c>
      <c r="F83" s="951"/>
      <c r="G83" s="951"/>
      <c r="H83" s="316"/>
      <c r="I83" s="507">
        <v>5</v>
      </c>
      <c r="J83" s="318">
        <f>IF(L83,I83,0)</f>
        <v>0</v>
      </c>
      <c r="L83" s="159" t="b">
        <v>0</v>
      </c>
    </row>
    <row r="84" spans="1:12" ht="43.5" customHeight="1">
      <c r="B84" s="209"/>
      <c r="C84" s="217"/>
      <c r="D84" s="510"/>
      <c r="E84" s="948" t="s">
        <v>457</v>
      </c>
      <c r="F84" s="948"/>
      <c r="G84" s="948"/>
      <c r="H84" s="276"/>
      <c r="I84" s="506"/>
      <c r="J84" s="164"/>
    </row>
    <row r="85" spans="1:12" ht="40.5" customHeight="1">
      <c r="A85" s="188"/>
      <c r="B85" s="213"/>
      <c r="C85" s="189"/>
      <c r="D85" s="513"/>
      <c r="E85" s="810" t="s">
        <v>137</v>
      </c>
      <c r="F85" s="944" t="s">
        <v>459</v>
      </c>
      <c r="G85" s="944"/>
      <c r="H85" s="947"/>
      <c r="I85" s="515"/>
      <c r="J85" s="218"/>
    </row>
    <row r="86" spans="1:12" ht="40.5" customHeight="1">
      <c r="A86" s="188"/>
      <c r="B86" s="213"/>
      <c r="C86" s="189"/>
      <c r="D86" s="513"/>
      <c r="E86" s="810" t="s">
        <v>137</v>
      </c>
      <c r="F86" s="944" t="s">
        <v>460</v>
      </c>
      <c r="G86" s="944"/>
      <c r="H86" s="947"/>
      <c r="I86" s="515"/>
      <c r="J86" s="218"/>
    </row>
    <row r="87" spans="1:12" ht="27" customHeight="1">
      <c r="A87" s="188"/>
      <c r="B87" s="213"/>
      <c r="C87" s="189"/>
      <c r="D87" s="513"/>
      <c r="E87" s="810" t="s">
        <v>137</v>
      </c>
      <c r="F87" s="944" t="s">
        <v>461</v>
      </c>
      <c r="G87" s="944"/>
      <c r="H87" s="947"/>
      <c r="I87" s="515"/>
      <c r="J87" s="218"/>
    </row>
    <row r="88" spans="1:12" ht="17.5">
      <c r="B88" s="163"/>
      <c r="C88" s="787" t="s">
        <v>157</v>
      </c>
      <c r="D88" s="788"/>
      <c r="E88" s="951" t="s">
        <v>518</v>
      </c>
      <c r="F88" s="951"/>
      <c r="G88" s="951"/>
      <c r="H88" s="316"/>
      <c r="I88" s="507">
        <v>3</v>
      </c>
      <c r="J88" s="318">
        <f>IF(L88,I88,0)</f>
        <v>0</v>
      </c>
      <c r="L88" s="159" t="b">
        <v>0</v>
      </c>
    </row>
    <row r="89" spans="1:12" ht="16.5">
      <c r="B89" s="209"/>
      <c r="C89" s="217"/>
      <c r="D89" s="510"/>
      <c r="E89" s="948"/>
      <c r="F89" s="948"/>
      <c r="G89" s="948"/>
      <c r="H89" s="276"/>
      <c r="I89" s="506"/>
      <c r="J89" s="164"/>
    </row>
    <row r="90" spans="1:12" ht="40.5" customHeight="1">
      <c r="A90" s="188"/>
      <c r="B90" s="213"/>
      <c r="C90" s="216"/>
      <c r="D90" s="510"/>
      <c r="E90" s="953" t="s">
        <v>465</v>
      </c>
      <c r="F90" s="955"/>
      <c r="G90" s="955"/>
      <c r="H90" s="956"/>
      <c r="I90" s="508"/>
      <c r="J90" s="164"/>
    </row>
    <row r="91" spans="1:12" ht="17.5">
      <c r="B91" s="163"/>
      <c r="C91" s="780" t="s">
        <v>158</v>
      </c>
      <c r="D91" s="782"/>
      <c r="E91" s="951" t="s">
        <v>466</v>
      </c>
      <c r="F91" s="951"/>
      <c r="G91" s="951"/>
      <c r="H91" s="316"/>
      <c r="I91" s="507">
        <v>12</v>
      </c>
      <c r="J91" s="318">
        <f>IF(L91,I91,0)</f>
        <v>0</v>
      </c>
      <c r="L91" s="159" t="b">
        <v>0</v>
      </c>
    </row>
    <row r="92" spans="1:12" ht="58.5" customHeight="1">
      <c r="B92" s="209"/>
      <c r="C92" s="217"/>
      <c r="D92" s="510"/>
      <c r="E92" s="948" t="s">
        <v>519</v>
      </c>
      <c r="F92" s="948"/>
      <c r="G92" s="948"/>
      <c r="H92" s="276"/>
      <c r="I92" s="506"/>
      <c r="J92" s="164"/>
    </row>
    <row r="93" spans="1:12" ht="39.75" customHeight="1">
      <c r="A93" s="188"/>
      <c r="B93" s="213"/>
      <c r="C93" s="216"/>
      <c r="D93" s="511"/>
      <c r="E93" s="944" t="s">
        <v>469</v>
      </c>
      <c r="F93" s="945"/>
      <c r="G93" s="945"/>
      <c r="H93" s="946"/>
      <c r="I93" s="508"/>
      <c r="J93" s="164"/>
    </row>
    <row r="94" spans="1:12" ht="15" customHeight="1">
      <c r="A94" s="188"/>
      <c r="B94" s="213"/>
      <c r="C94" s="189"/>
      <c r="D94" s="513"/>
      <c r="E94" s="810" t="s">
        <v>137</v>
      </c>
      <c r="F94" s="944" t="s">
        <v>470</v>
      </c>
      <c r="G94" s="944"/>
      <c r="H94" s="947"/>
      <c r="I94" s="515"/>
      <c r="J94" s="218"/>
    </row>
    <row r="95" spans="1:12" ht="40.5" customHeight="1">
      <c r="A95" s="188"/>
      <c r="B95" s="213"/>
      <c r="C95" s="189"/>
      <c r="D95" s="513"/>
      <c r="E95" s="810" t="s">
        <v>137</v>
      </c>
      <c r="F95" s="944" t="s">
        <v>471</v>
      </c>
      <c r="G95" s="944"/>
      <c r="H95" s="947"/>
      <c r="I95" s="515"/>
      <c r="J95" s="218"/>
    </row>
    <row r="96" spans="1:12" ht="15.5">
      <c r="A96" s="188"/>
      <c r="B96" s="213"/>
      <c r="C96" s="189"/>
      <c r="D96" s="513"/>
      <c r="E96" s="810" t="s">
        <v>137</v>
      </c>
      <c r="F96" s="944" t="s">
        <v>472</v>
      </c>
      <c r="G96" s="944"/>
      <c r="H96" s="947"/>
      <c r="I96" s="515"/>
      <c r="J96" s="218"/>
    </row>
    <row r="97" spans="1:12" ht="40.5" customHeight="1">
      <c r="A97" s="188"/>
      <c r="B97" s="213"/>
      <c r="C97" s="189"/>
      <c r="D97" s="513"/>
      <c r="E97" s="810" t="s">
        <v>137</v>
      </c>
      <c r="F97" s="944" t="s">
        <v>473</v>
      </c>
      <c r="G97" s="944"/>
      <c r="H97" s="947"/>
      <c r="I97" s="515"/>
      <c r="J97" s="218"/>
    </row>
    <row r="98" spans="1:12" ht="15" customHeight="1">
      <c r="A98" s="188"/>
      <c r="B98" s="213"/>
      <c r="C98" s="189"/>
      <c r="D98" s="513"/>
      <c r="E98" s="810" t="s">
        <v>137</v>
      </c>
      <c r="F98" s="944" t="s">
        <v>474</v>
      </c>
      <c r="G98" s="944"/>
      <c r="H98" s="947"/>
      <c r="I98" s="515"/>
      <c r="J98" s="218"/>
    </row>
    <row r="99" spans="1:12" ht="27" customHeight="1">
      <c r="A99" s="188"/>
      <c r="B99" s="214"/>
      <c r="C99" s="319"/>
      <c r="D99" s="512"/>
      <c r="E99" s="953" t="s">
        <v>475</v>
      </c>
      <c r="F99" s="955"/>
      <c r="G99" s="955"/>
      <c r="H99" s="956"/>
      <c r="I99" s="509"/>
      <c r="J99" s="317"/>
    </row>
    <row r="100" spans="1:12" ht="17.5">
      <c r="B100" s="163"/>
      <c r="C100" s="780" t="s">
        <v>159</v>
      </c>
      <c r="D100" s="788"/>
      <c r="E100" s="951" t="s">
        <v>476</v>
      </c>
      <c r="F100" s="951"/>
      <c r="G100" s="951"/>
      <c r="H100" s="316"/>
      <c r="I100" s="507">
        <v>2</v>
      </c>
      <c r="J100" s="318">
        <f>IF(L100,I100,0)</f>
        <v>0</v>
      </c>
      <c r="L100" s="159" t="b">
        <v>0</v>
      </c>
    </row>
    <row r="101" spans="1:12" ht="40.5" customHeight="1">
      <c r="B101" s="209"/>
      <c r="C101" s="217"/>
      <c r="D101" s="517"/>
      <c r="E101" s="948" t="s">
        <v>477</v>
      </c>
      <c r="F101" s="948"/>
      <c r="G101" s="948"/>
      <c r="H101" s="276"/>
      <c r="I101" s="506"/>
      <c r="J101" s="164"/>
    </row>
    <row r="102" spans="1:12" ht="27" customHeight="1">
      <c r="A102" s="188"/>
      <c r="B102" s="214"/>
      <c r="C102" s="319"/>
      <c r="D102" s="512"/>
      <c r="E102" s="953" t="s">
        <v>642</v>
      </c>
      <c r="F102" s="955"/>
      <c r="G102" s="955"/>
      <c r="H102" s="955"/>
      <c r="I102" s="509"/>
      <c r="J102" s="317"/>
    </row>
    <row r="103" spans="1:12" ht="17.5">
      <c r="B103" s="163"/>
      <c r="C103" s="785" t="s">
        <v>160</v>
      </c>
      <c r="D103" s="786"/>
      <c r="E103" s="951" t="s">
        <v>480</v>
      </c>
      <c r="F103" s="951"/>
      <c r="G103" s="951"/>
      <c r="H103" s="275"/>
      <c r="I103" s="516">
        <v>2</v>
      </c>
      <c r="J103" s="322">
        <f>IF(L103,I103,0)</f>
        <v>0</v>
      </c>
      <c r="L103" s="159" t="b">
        <v>0</v>
      </c>
    </row>
    <row r="104" spans="1:12" ht="40" customHeight="1">
      <c r="B104" s="209"/>
      <c r="C104" s="217"/>
      <c r="D104" s="510"/>
      <c r="E104" s="948" t="s">
        <v>520</v>
      </c>
      <c r="F104" s="948"/>
      <c r="G104" s="948"/>
      <c r="H104" s="276"/>
      <c r="I104" s="506"/>
      <c r="J104" s="164"/>
    </row>
    <row r="105" spans="1:12" ht="40.5" customHeight="1">
      <c r="A105" s="188"/>
      <c r="B105" s="213"/>
      <c r="C105" s="216"/>
      <c r="D105" s="512"/>
      <c r="E105" s="953" t="s">
        <v>479</v>
      </c>
      <c r="F105" s="955"/>
      <c r="G105" s="955"/>
      <c r="H105" s="955"/>
      <c r="I105" s="509"/>
      <c r="J105" s="317"/>
    </row>
    <row r="106" spans="1:12" ht="17.5">
      <c r="B106" s="163"/>
      <c r="C106" s="780" t="s">
        <v>161</v>
      </c>
      <c r="D106" s="782"/>
      <c r="E106" s="951" t="s">
        <v>483</v>
      </c>
      <c r="F106" s="951"/>
      <c r="G106" s="951"/>
      <c r="H106" s="316"/>
      <c r="I106" s="507">
        <v>1.5</v>
      </c>
      <c r="J106" s="318">
        <f>IF(L106,I106,0)</f>
        <v>0</v>
      </c>
      <c r="L106" s="159" t="b">
        <v>0</v>
      </c>
    </row>
    <row r="107" spans="1:12" ht="16.5">
      <c r="B107" s="209"/>
      <c r="C107" s="217"/>
      <c r="D107" s="510"/>
      <c r="E107" s="948"/>
      <c r="F107" s="948"/>
      <c r="G107" s="948"/>
      <c r="H107" s="276"/>
      <c r="I107" s="506"/>
      <c r="J107" s="164"/>
    </row>
    <row r="108" spans="1:12" ht="27" customHeight="1">
      <c r="A108" s="188"/>
      <c r="B108" s="214"/>
      <c r="C108" s="319"/>
      <c r="D108" s="512"/>
      <c r="E108" s="953" t="s">
        <v>484</v>
      </c>
      <c r="F108" s="955"/>
      <c r="G108" s="955"/>
      <c r="H108" s="956"/>
      <c r="I108" s="509"/>
      <c r="J108" s="317"/>
    </row>
    <row r="109" spans="1:12" ht="17.5">
      <c r="B109" s="163"/>
      <c r="C109" s="780" t="s">
        <v>162</v>
      </c>
      <c r="D109" s="788"/>
      <c r="E109" s="951" t="s">
        <v>485</v>
      </c>
      <c r="F109" s="951"/>
      <c r="G109" s="951"/>
      <c r="H109" s="316"/>
      <c r="I109" s="507">
        <v>3</v>
      </c>
      <c r="J109" s="318">
        <f>IF(L109,I109,0)</f>
        <v>0</v>
      </c>
      <c r="L109" s="159" t="b">
        <v>0</v>
      </c>
    </row>
    <row r="110" spans="1:12" ht="16.5">
      <c r="B110" s="209"/>
      <c r="C110" s="217"/>
      <c r="D110" s="517"/>
      <c r="E110" s="948" t="s">
        <v>463</v>
      </c>
      <c r="F110" s="948"/>
      <c r="G110" s="948"/>
      <c r="H110" s="276"/>
      <c r="I110" s="506"/>
      <c r="J110" s="164"/>
    </row>
    <row r="111" spans="1:12" ht="15.5">
      <c r="A111" s="188"/>
      <c r="B111" s="213"/>
      <c r="C111" s="216"/>
      <c r="D111" s="511"/>
      <c r="E111" s="944" t="s">
        <v>487</v>
      </c>
      <c r="F111" s="945"/>
      <c r="G111" s="945"/>
      <c r="H111" s="945"/>
      <c r="I111" s="508"/>
      <c r="J111" s="164"/>
    </row>
    <row r="112" spans="1:12" ht="51" customHeight="1">
      <c r="A112" s="188"/>
      <c r="B112" s="213"/>
      <c r="C112" s="216"/>
      <c r="D112" s="511"/>
      <c r="E112" s="944" t="s">
        <v>488</v>
      </c>
      <c r="F112" s="945"/>
      <c r="G112" s="945"/>
      <c r="H112" s="945"/>
      <c r="I112" s="508"/>
      <c r="J112" s="164"/>
    </row>
    <row r="113" spans="1:12" ht="27" customHeight="1">
      <c r="A113" s="188"/>
      <c r="B113" s="214"/>
      <c r="C113" s="319"/>
      <c r="D113" s="512"/>
      <c r="E113" s="953" t="s">
        <v>489</v>
      </c>
      <c r="F113" s="955"/>
      <c r="G113" s="955"/>
      <c r="H113" s="955"/>
      <c r="I113" s="509"/>
      <c r="J113" s="317"/>
    </row>
    <row r="114" spans="1:12" ht="17.5">
      <c r="B114" s="163"/>
      <c r="C114" s="785" t="s">
        <v>163</v>
      </c>
      <c r="D114" s="786"/>
      <c r="E114" s="951" t="s">
        <v>490</v>
      </c>
      <c r="F114" s="951"/>
      <c r="G114" s="951"/>
      <c r="H114" s="275"/>
      <c r="I114" s="516">
        <v>3</v>
      </c>
      <c r="J114" s="322">
        <f>IF(L114,I114,0)</f>
        <v>0</v>
      </c>
      <c r="L114" s="159" t="b">
        <v>0</v>
      </c>
    </row>
    <row r="115" spans="1:12" ht="16.5" customHeight="1">
      <c r="B115" s="209"/>
      <c r="C115" s="217"/>
      <c r="D115" s="510"/>
      <c r="E115" s="948" t="s">
        <v>491</v>
      </c>
      <c r="F115" s="948"/>
      <c r="G115" s="948"/>
      <c r="H115" s="276"/>
      <c r="I115" s="506"/>
      <c r="J115" s="164"/>
    </row>
    <row r="116" spans="1:12" ht="15.5">
      <c r="A116" s="188"/>
      <c r="B116" s="213"/>
      <c r="C116" s="216"/>
      <c r="D116" s="512"/>
      <c r="E116" s="953" t="s">
        <v>492</v>
      </c>
      <c r="F116" s="955"/>
      <c r="G116" s="955"/>
      <c r="H116" s="955"/>
      <c r="I116" s="509"/>
      <c r="J116" s="317"/>
    </row>
    <row r="117" spans="1:12" ht="17.5">
      <c r="B117" s="163"/>
      <c r="C117" s="780" t="s">
        <v>164</v>
      </c>
      <c r="D117" s="786"/>
      <c r="E117" s="951" t="s">
        <v>493</v>
      </c>
      <c r="F117" s="951"/>
      <c r="G117" s="951"/>
      <c r="H117" s="275"/>
      <c r="I117" s="516">
        <v>0.5</v>
      </c>
      <c r="J117" s="322">
        <f>IF(L117,I117,0)</f>
        <v>0</v>
      </c>
      <c r="L117" s="159" t="b">
        <v>0</v>
      </c>
    </row>
    <row r="118" spans="1:12" ht="16.5" customHeight="1">
      <c r="B118" s="209"/>
      <c r="C118" s="217"/>
      <c r="D118" s="510"/>
      <c r="E118" s="948"/>
      <c r="F118" s="948"/>
      <c r="G118" s="948"/>
      <c r="H118" s="276"/>
      <c r="I118" s="506"/>
      <c r="J118" s="164"/>
    </row>
    <row r="119" spans="1:12" ht="16" thickBot="1">
      <c r="A119" s="188"/>
      <c r="B119" s="213"/>
      <c r="C119" s="216"/>
      <c r="D119" s="511"/>
      <c r="E119" s="778"/>
      <c r="F119" s="599"/>
      <c r="G119" s="778"/>
      <c r="H119" s="740"/>
      <c r="I119" s="508"/>
      <c r="J119" s="164"/>
    </row>
    <row r="120" spans="1:12" ht="22.75" customHeight="1" thickBot="1">
      <c r="B120" s="941" t="s">
        <v>521</v>
      </c>
      <c r="C120" s="942"/>
      <c r="D120" s="942"/>
      <c r="E120" s="942"/>
      <c r="F120" s="942"/>
      <c r="G120" s="942"/>
      <c r="H120" s="942"/>
      <c r="I120" s="384">
        <f>IF(Projektgrundlagen!$I$26,SUM(I79:I119),0)</f>
        <v>0</v>
      </c>
      <c r="J120" s="385">
        <f>IF(Projektgrundlagen!$I$26,SUMIF(L79:L119,TRUE,J79:J119),0)</f>
        <v>0</v>
      </c>
    </row>
    <row r="121" spans="1:12" ht="7.5" customHeight="1"/>
    <row r="122" spans="1:12" ht="22.75" customHeight="1">
      <c r="B122" s="387" t="s">
        <v>494</v>
      </c>
      <c r="C122" s="388"/>
      <c r="D122" s="388"/>
      <c r="E122" s="388"/>
      <c r="F122" s="388"/>
      <c r="G122" s="394"/>
      <c r="H122" s="394"/>
      <c r="I122" s="392"/>
      <c r="J122" s="393"/>
    </row>
    <row r="123" spans="1:12" ht="17.5">
      <c r="B123" s="163"/>
      <c r="C123" s="780" t="s">
        <v>155</v>
      </c>
      <c r="D123" s="789"/>
      <c r="E123" s="949" t="s">
        <v>496</v>
      </c>
      <c r="F123" s="949"/>
      <c r="G123" s="949"/>
      <c r="H123" s="316"/>
      <c r="I123" s="505">
        <v>10</v>
      </c>
      <c r="J123" s="318">
        <f>IF(L123,I123,0)</f>
        <v>0</v>
      </c>
      <c r="L123" s="159" t="b">
        <v>0</v>
      </c>
    </row>
    <row r="124" spans="1:12" ht="16.5">
      <c r="B124" s="209"/>
      <c r="C124" s="217"/>
      <c r="D124" s="517"/>
      <c r="E124" s="948" t="s">
        <v>497</v>
      </c>
      <c r="F124" s="948"/>
      <c r="G124" s="948"/>
      <c r="H124" s="276"/>
      <c r="I124" s="506"/>
      <c r="J124" s="164"/>
    </row>
    <row r="125" spans="1:12" ht="27.75" customHeight="1">
      <c r="A125" s="188"/>
      <c r="B125" s="213"/>
      <c r="C125" s="216"/>
      <c r="D125" s="511"/>
      <c r="E125" s="944" t="s">
        <v>498</v>
      </c>
      <c r="F125" s="945"/>
      <c r="G125" s="945"/>
      <c r="H125" s="946"/>
      <c r="I125" s="508"/>
      <c r="J125" s="164"/>
    </row>
    <row r="126" spans="1:12" ht="15.5">
      <c r="A126" s="188"/>
      <c r="B126" s="213"/>
      <c r="C126" s="216"/>
      <c r="D126" s="511"/>
      <c r="E126" s="944" t="s">
        <v>499</v>
      </c>
      <c r="F126" s="945"/>
      <c r="G126" s="945"/>
      <c r="H126" s="946"/>
      <c r="I126" s="508"/>
      <c r="J126" s="164"/>
    </row>
    <row r="127" spans="1:12" ht="15.5">
      <c r="A127" s="188"/>
      <c r="B127" s="213"/>
      <c r="C127" s="216"/>
      <c r="D127" s="511"/>
      <c r="E127" s="944" t="s">
        <v>500</v>
      </c>
      <c r="F127" s="945"/>
      <c r="G127" s="945"/>
      <c r="H127" s="946"/>
      <c r="I127" s="508"/>
      <c r="J127" s="164"/>
    </row>
    <row r="128" spans="1:12" ht="15.5">
      <c r="A128" s="188"/>
      <c r="B128" s="213"/>
      <c r="C128" s="189"/>
      <c r="D128" s="513"/>
      <c r="E128" s="810" t="s">
        <v>137</v>
      </c>
      <c r="F128" s="944" t="s">
        <v>501</v>
      </c>
      <c r="G128" s="944"/>
      <c r="H128" s="947"/>
      <c r="I128" s="515"/>
      <c r="J128" s="218"/>
    </row>
    <row r="129" spans="1:12" ht="15.5">
      <c r="A129" s="188"/>
      <c r="B129" s="213"/>
      <c r="C129" s="189"/>
      <c r="D129" s="513"/>
      <c r="E129" s="810" t="s">
        <v>137</v>
      </c>
      <c r="F129" s="944" t="s">
        <v>502</v>
      </c>
      <c r="G129" s="944"/>
      <c r="H129" s="947"/>
      <c r="I129" s="515"/>
      <c r="J129" s="218"/>
    </row>
    <row r="130" spans="1:12" ht="15.5">
      <c r="A130" s="188"/>
      <c r="B130" s="213"/>
      <c r="C130" s="189"/>
      <c r="D130" s="513"/>
      <c r="E130" s="810" t="s">
        <v>137</v>
      </c>
      <c r="F130" s="944" t="s">
        <v>503</v>
      </c>
      <c r="G130" s="944"/>
      <c r="H130" s="947"/>
      <c r="I130" s="515"/>
      <c r="J130" s="218"/>
    </row>
    <row r="131" spans="1:12" ht="27" customHeight="1">
      <c r="A131" s="188"/>
      <c r="B131" s="213"/>
      <c r="C131" s="189"/>
      <c r="D131" s="513"/>
      <c r="E131" s="810" t="s">
        <v>137</v>
      </c>
      <c r="F131" s="944" t="s">
        <v>504</v>
      </c>
      <c r="G131" s="944"/>
      <c r="H131" s="947"/>
      <c r="I131" s="515"/>
      <c r="J131" s="218"/>
    </row>
    <row r="132" spans="1:12" ht="24.75" customHeight="1">
      <c r="A132" s="188"/>
      <c r="B132" s="213"/>
      <c r="C132" s="189"/>
      <c r="D132" s="513"/>
      <c r="E132" s="810" t="s">
        <v>137</v>
      </c>
      <c r="F132" s="944" t="s">
        <v>505</v>
      </c>
      <c r="G132" s="944"/>
      <c r="H132" s="947"/>
      <c r="I132" s="515"/>
      <c r="J132" s="218"/>
    </row>
    <row r="133" spans="1:12" ht="15" customHeight="1">
      <c r="A133" s="188"/>
      <c r="B133" s="213"/>
      <c r="C133" s="189"/>
      <c r="D133" s="513"/>
      <c r="E133" s="810" t="s">
        <v>137</v>
      </c>
      <c r="F133" s="944" t="s">
        <v>506</v>
      </c>
      <c r="G133" s="944"/>
      <c r="H133" s="947"/>
      <c r="I133" s="515"/>
      <c r="J133" s="218"/>
    </row>
    <row r="134" spans="1:12" ht="27" customHeight="1" thickBot="1">
      <c r="A134" s="188"/>
      <c r="B134" s="214"/>
      <c r="C134" s="319"/>
      <c r="D134" s="512"/>
      <c r="E134" s="953" t="s">
        <v>507</v>
      </c>
      <c r="F134" s="955"/>
      <c r="G134" s="955"/>
      <c r="H134" s="955"/>
      <c r="I134" s="509"/>
      <c r="J134" s="317"/>
    </row>
    <row r="135" spans="1:12" ht="22.75" customHeight="1" thickBot="1">
      <c r="B135" s="941" t="s">
        <v>495</v>
      </c>
      <c r="C135" s="942"/>
      <c r="D135" s="942"/>
      <c r="E135" s="942"/>
      <c r="F135" s="942"/>
      <c r="G135" s="942"/>
      <c r="H135" s="943"/>
      <c r="I135" s="386">
        <f>IF(Projektgrundlagen!$I$26,SUM(I123:I134),0)</f>
        <v>0</v>
      </c>
      <c r="J135" s="385">
        <f>IF(Projektgrundlagen!$I$26,SUMIF(L123:L134,TRUE,J123:J134),0)</f>
        <v>0</v>
      </c>
    </row>
    <row r="136" spans="1:12" ht="7.5" customHeight="1" thickBot="1">
      <c r="D136" s="208"/>
      <c r="G136" s="208"/>
      <c r="H136" s="208"/>
    </row>
    <row r="137" spans="1:12" ht="22.75" customHeight="1" thickBot="1">
      <c r="B137" s="941" t="s">
        <v>539</v>
      </c>
      <c r="C137" s="942"/>
      <c r="D137" s="942"/>
      <c r="E137" s="942"/>
      <c r="F137" s="942"/>
      <c r="G137" s="942"/>
      <c r="H137" s="943"/>
      <c r="I137" s="386">
        <f>IF(Projektgrundlagen!$I$26,SUM(I135,I120,I76,I48),0)</f>
        <v>0</v>
      </c>
      <c r="J137" s="385">
        <f>IF(Projektgrundlagen!$I$26,SUMIF(L18:L135,TRUE,J18:J135),0)</f>
        <v>0</v>
      </c>
    </row>
    <row r="138" spans="1:12" ht="16.5"/>
    <row r="139" spans="1:12" s="160" customFormat="1" ht="22.75" customHeight="1">
      <c r="A139" s="381"/>
      <c r="B139" s="387" t="s">
        <v>522</v>
      </c>
      <c r="C139" s="388"/>
      <c r="D139" s="388"/>
      <c r="E139" s="388"/>
      <c r="F139" s="388"/>
      <c r="G139" s="389"/>
      <c r="H139" s="389"/>
      <c r="I139" s="390"/>
      <c r="J139" s="391"/>
      <c r="L139" s="161"/>
    </row>
    <row r="140" spans="1:12" ht="7.5" customHeight="1">
      <c r="D140" s="208"/>
      <c r="G140" s="208"/>
      <c r="H140" s="208"/>
    </row>
    <row r="141" spans="1:12" ht="22.75" customHeight="1">
      <c r="B141" s="387" t="s">
        <v>449</v>
      </c>
      <c r="C141" s="388"/>
      <c r="D141" s="388"/>
      <c r="E141" s="388"/>
      <c r="F141" s="388"/>
      <c r="G141" s="394"/>
      <c r="H141" s="394"/>
      <c r="I141" s="389"/>
      <c r="J141" s="395"/>
    </row>
    <row r="142" spans="1:12" ht="18" customHeight="1">
      <c r="B142" s="163"/>
      <c r="C142" s="780" t="s">
        <v>155</v>
      </c>
      <c r="D142" s="789"/>
      <c r="E142" s="952" t="s">
        <v>536</v>
      </c>
      <c r="F142" s="952"/>
      <c r="G142" s="952"/>
      <c r="H142" s="316"/>
      <c r="I142" s="505">
        <v>4</v>
      </c>
      <c r="J142" s="318">
        <f>IF(L142,I142,0)</f>
        <v>0</v>
      </c>
      <c r="L142" s="159" t="b">
        <v>0</v>
      </c>
    </row>
    <row r="143" spans="1:12" ht="52.5" customHeight="1">
      <c r="B143" s="209"/>
      <c r="C143" s="217"/>
      <c r="D143" s="517"/>
      <c r="E143" s="948" t="s">
        <v>537</v>
      </c>
      <c r="F143" s="948"/>
      <c r="G143" s="948"/>
      <c r="H143" s="276"/>
      <c r="I143" s="506"/>
      <c r="J143" s="164"/>
    </row>
    <row r="144" spans="1:12" ht="15.5">
      <c r="A144" s="188"/>
      <c r="B144" s="213"/>
      <c r="C144" s="189"/>
      <c r="D144" s="511"/>
      <c r="E144" s="778"/>
      <c r="F144" s="599"/>
      <c r="G144" s="778"/>
      <c r="H144" s="778"/>
      <c r="I144" s="518"/>
      <c r="J144" s="218"/>
    </row>
    <row r="145" spans="1:13" ht="17.5">
      <c r="B145" s="163"/>
      <c r="C145" s="780" t="s">
        <v>156</v>
      </c>
      <c r="D145" s="788"/>
      <c r="E145" s="951" t="s">
        <v>534</v>
      </c>
      <c r="F145" s="951"/>
      <c r="G145" s="951"/>
      <c r="H145" s="316"/>
      <c r="I145" s="507">
        <v>2</v>
      </c>
      <c r="J145" s="318">
        <f>IF(L145,I145,0)</f>
        <v>0</v>
      </c>
      <c r="L145" s="159" t="b">
        <v>0</v>
      </c>
    </row>
    <row r="146" spans="1:13" ht="52.5" customHeight="1">
      <c r="B146" s="209"/>
      <c r="C146" s="217"/>
      <c r="D146" s="517"/>
      <c r="E146" s="948" t="s">
        <v>535</v>
      </c>
      <c r="F146" s="948"/>
      <c r="G146" s="948"/>
      <c r="H146" s="276"/>
      <c r="I146" s="506"/>
      <c r="J146" s="164"/>
    </row>
    <row r="147" spans="1:13" ht="15.5">
      <c r="A147" s="188"/>
      <c r="B147" s="213"/>
      <c r="C147" s="189"/>
      <c r="D147" s="511"/>
      <c r="E147" s="778"/>
      <c r="F147" s="599"/>
      <c r="G147" s="778"/>
      <c r="H147" s="778"/>
      <c r="I147" s="518"/>
      <c r="J147" s="218"/>
    </row>
    <row r="148" spans="1:13" ht="17.5">
      <c r="B148" s="163"/>
      <c r="C148" s="780" t="s">
        <v>157</v>
      </c>
      <c r="D148" s="788"/>
      <c r="E148" s="951" t="s">
        <v>532</v>
      </c>
      <c r="F148" s="951"/>
      <c r="G148" s="951"/>
      <c r="H148" s="316"/>
      <c r="I148" s="507">
        <v>1</v>
      </c>
      <c r="J148" s="318">
        <f>IF(L148,I148,0)</f>
        <v>0</v>
      </c>
      <c r="L148" s="159" t="b">
        <v>0</v>
      </c>
    </row>
    <row r="149" spans="1:13" ht="16.5">
      <c r="B149" s="209"/>
      <c r="C149" s="217"/>
      <c r="D149" s="517"/>
      <c r="E149" s="948" t="s">
        <v>533</v>
      </c>
      <c r="F149" s="948"/>
      <c r="G149" s="948"/>
      <c r="H149" s="276"/>
      <c r="I149" s="506"/>
      <c r="J149" s="164"/>
    </row>
    <row r="150" spans="1:13" ht="15.5">
      <c r="A150" s="188"/>
      <c r="B150" s="214"/>
      <c r="C150" s="189"/>
      <c r="D150" s="511"/>
      <c r="E150" s="778"/>
      <c r="F150" s="599"/>
      <c r="G150" s="778"/>
      <c r="H150" s="778"/>
      <c r="I150" s="518"/>
      <c r="J150" s="218"/>
    </row>
    <row r="151" spans="1:13" ht="17.5">
      <c r="B151" s="163"/>
      <c r="C151" s="780" t="s">
        <v>158</v>
      </c>
      <c r="D151" s="788"/>
      <c r="E151" s="951" t="s">
        <v>466</v>
      </c>
      <c r="F151" s="951"/>
      <c r="G151" s="951"/>
      <c r="H151" s="316"/>
      <c r="I151" s="507">
        <v>8</v>
      </c>
      <c r="J151" s="318">
        <f>IF(L151,I151,0)</f>
        <v>0</v>
      </c>
      <c r="L151" s="159" t="b">
        <v>0</v>
      </c>
    </row>
    <row r="152" spans="1:13" s="83" customFormat="1" ht="52.5" customHeight="1">
      <c r="A152" s="380"/>
      <c r="B152" s="144"/>
      <c r="C152" s="217"/>
      <c r="D152" s="517"/>
      <c r="E152" s="948" t="s">
        <v>531</v>
      </c>
      <c r="F152" s="948"/>
      <c r="G152" s="948"/>
      <c r="H152" s="276"/>
      <c r="I152" s="506"/>
      <c r="J152" s="164"/>
      <c r="L152" s="84"/>
      <c r="M152" s="136"/>
    </row>
    <row r="153" spans="1:13" ht="15.5">
      <c r="A153" s="188"/>
      <c r="B153" s="213"/>
      <c r="C153" s="189"/>
      <c r="D153" s="511"/>
      <c r="E153" s="778"/>
      <c r="F153" s="599"/>
      <c r="G153" s="778"/>
      <c r="H153" s="778"/>
      <c r="I153" s="518"/>
      <c r="J153" s="218"/>
    </row>
    <row r="154" spans="1:13" ht="17.5">
      <c r="B154" s="163"/>
      <c r="C154" s="780" t="s">
        <v>159</v>
      </c>
      <c r="D154" s="788"/>
      <c r="E154" s="951" t="s">
        <v>529</v>
      </c>
      <c r="F154" s="951"/>
      <c r="G154" s="951"/>
      <c r="H154" s="316"/>
      <c r="I154" s="507">
        <v>0.5</v>
      </c>
      <c r="J154" s="318">
        <f>IF(L154,I154,0)</f>
        <v>0</v>
      </c>
      <c r="L154" s="159" t="b">
        <v>0</v>
      </c>
    </row>
    <row r="155" spans="1:13" ht="40.5" customHeight="1">
      <c r="B155" s="209"/>
      <c r="C155" s="217"/>
      <c r="D155" s="517"/>
      <c r="E155" s="948" t="s">
        <v>530</v>
      </c>
      <c r="F155" s="948"/>
      <c r="G155" s="948"/>
      <c r="H155" s="276"/>
      <c r="I155" s="506"/>
      <c r="J155" s="164"/>
    </row>
    <row r="156" spans="1:13" ht="15.5">
      <c r="A156" s="188"/>
      <c r="B156" s="214"/>
      <c r="C156" s="189"/>
      <c r="D156" s="511"/>
      <c r="E156" s="778"/>
      <c r="F156" s="599"/>
      <c r="G156" s="778"/>
      <c r="H156" s="778"/>
      <c r="I156" s="518"/>
      <c r="J156" s="218"/>
    </row>
    <row r="157" spans="1:13" ht="17.5">
      <c r="B157" s="163"/>
      <c r="C157" s="780" t="s">
        <v>160</v>
      </c>
      <c r="D157" s="788"/>
      <c r="E157" s="951" t="s">
        <v>527</v>
      </c>
      <c r="F157" s="951"/>
      <c r="G157" s="951"/>
      <c r="H157" s="316"/>
      <c r="I157" s="507">
        <v>0.5</v>
      </c>
      <c r="J157" s="318">
        <f>IF(L157,I157,0)</f>
        <v>0</v>
      </c>
      <c r="L157" s="159" t="b">
        <v>0</v>
      </c>
    </row>
    <row r="158" spans="1:13" ht="40.5" customHeight="1">
      <c r="B158" s="209"/>
      <c r="C158" s="217"/>
      <c r="D158" s="517"/>
      <c r="E158" s="948" t="s">
        <v>528</v>
      </c>
      <c r="F158" s="948"/>
      <c r="G158" s="948"/>
      <c r="H158" s="276"/>
      <c r="I158" s="506"/>
      <c r="J158" s="164"/>
    </row>
    <row r="159" spans="1:13" ht="15.5">
      <c r="A159" s="188"/>
      <c r="B159" s="214"/>
      <c r="C159" s="189"/>
      <c r="D159" s="511"/>
      <c r="E159" s="778"/>
      <c r="F159" s="599"/>
      <c r="G159" s="778"/>
      <c r="H159" s="778"/>
      <c r="I159" s="518"/>
      <c r="J159" s="218"/>
    </row>
    <row r="160" spans="1:13" ht="17.5">
      <c r="B160" s="163"/>
      <c r="C160" s="780" t="s">
        <v>161</v>
      </c>
      <c r="D160" s="788"/>
      <c r="E160" s="951" t="s">
        <v>526</v>
      </c>
      <c r="F160" s="951"/>
      <c r="G160" s="951"/>
      <c r="H160" s="316"/>
      <c r="I160" s="507">
        <v>1.5</v>
      </c>
      <c r="J160" s="318">
        <f>IF(L160,I160,0)</f>
        <v>0</v>
      </c>
      <c r="L160" s="159" t="b">
        <v>0</v>
      </c>
    </row>
    <row r="161" spans="1:13" ht="27" customHeight="1">
      <c r="B161" s="209"/>
      <c r="C161" s="217"/>
      <c r="D161" s="517"/>
      <c r="E161" s="948" t="s">
        <v>525</v>
      </c>
      <c r="F161" s="948"/>
      <c r="G161" s="948"/>
      <c r="H161" s="276"/>
      <c r="I161" s="506"/>
      <c r="J161" s="164"/>
    </row>
    <row r="162" spans="1:13" ht="15.5">
      <c r="A162" s="188"/>
      <c r="B162" s="214"/>
      <c r="C162" s="189"/>
      <c r="D162" s="511"/>
      <c r="E162" s="778"/>
      <c r="F162" s="599"/>
      <c r="G162" s="778"/>
      <c r="H162" s="778"/>
      <c r="I162" s="518"/>
      <c r="J162" s="218"/>
    </row>
    <row r="163" spans="1:13" ht="17.5">
      <c r="B163" s="163"/>
      <c r="C163" s="780" t="s">
        <v>162</v>
      </c>
      <c r="D163" s="788"/>
      <c r="E163" s="951" t="s">
        <v>493</v>
      </c>
      <c r="F163" s="951"/>
      <c r="G163" s="951"/>
      <c r="H163" s="316"/>
      <c r="I163" s="507">
        <v>0.5</v>
      </c>
      <c r="J163" s="318">
        <f>IF(L163,I163,0)</f>
        <v>0</v>
      </c>
      <c r="L163" s="159" t="b">
        <v>0</v>
      </c>
    </row>
    <row r="164" spans="1:13" s="83" customFormat="1" ht="16.5" customHeight="1">
      <c r="A164" s="380"/>
      <c r="B164" s="144"/>
      <c r="C164" s="217"/>
      <c r="D164" s="517"/>
      <c r="E164" s="948"/>
      <c r="F164" s="948"/>
      <c r="G164" s="948"/>
      <c r="H164" s="276"/>
      <c r="I164" s="506"/>
      <c r="J164" s="164"/>
      <c r="L164" s="84"/>
      <c r="M164" s="136"/>
    </row>
    <row r="165" spans="1:13" ht="16" thickBot="1">
      <c r="A165" s="188"/>
      <c r="B165" s="213"/>
      <c r="C165" s="189"/>
      <c r="D165" s="511"/>
      <c r="E165" s="778"/>
      <c r="F165" s="599"/>
      <c r="G165" s="778"/>
      <c r="H165" s="778"/>
      <c r="I165" s="518"/>
      <c r="J165" s="218"/>
    </row>
    <row r="166" spans="1:13" ht="22.75" customHeight="1" thickBot="1">
      <c r="B166" s="941" t="s">
        <v>524</v>
      </c>
      <c r="C166" s="942"/>
      <c r="D166" s="942"/>
      <c r="E166" s="942"/>
      <c r="F166" s="942"/>
      <c r="G166" s="942"/>
      <c r="H166" s="943"/>
      <c r="I166" s="384">
        <f>IF(Projektgrundlagen!$I$26,SUM(I142:I165),0)</f>
        <v>0</v>
      </c>
      <c r="J166" s="385">
        <f>IF(Projektgrundlagen!$I$26,SUMIF(L142:L165,TRUE,J142:J165),0)</f>
        <v>0</v>
      </c>
    </row>
    <row r="167" spans="1:13" ht="7.5" customHeight="1"/>
    <row r="168" spans="1:13" s="168" customFormat="1" ht="22.75" customHeight="1">
      <c r="A168" s="382"/>
      <c r="B168" s="387" t="s">
        <v>494</v>
      </c>
      <c r="C168" s="388"/>
      <c r="D168" s="388"/>
      <c r="E168" s="388"/>
      <c r="F168" s="388"/>
      <c r="G168" s="396"/>
      <c r="H168" s="396"/>
      <c r="I168" s="397"/>
      <c r="J168" s="398"/>
      <c r="L168" s="169"/>
    </row>
    <row r="169" spans="1:13" ht="17.5">
      <c r="B169" s="163"/>
      <c r="C169" s="780" t="s">
        <v>155</v>
      </c>
      <c r="D169" s="788" t="s">
        <v>10</v>
      </c>
      <c r="E169" s="949" t="s">
        <v>496</v>
      </c>
      <c r="F169" s="950"/>
      <c r="G169" s="950"/>
      <c r="H169" s="316"/>
      <c r="I169" s="507">
        <v>10</v>
      </c>
      <c r="J169" s="318">
        <f>IF(L169,I169,0)</f>
        <v>0</v>
      </c>
      <c r="L169" s="159" t="b">
        <v>0</v>
      </c>
    </row>
    <row r="170" spans="1:13" ht="16.5">
      <c r="B170" s="209"/>
      <c r="C170" s="217"/>
      <c r="D170" s="517"/>
      <c r="E170" s="948" t="s">
        <v>643</v>
      </c>
      <c r="F170" s="948"/>
      <c r="G170" s="948"/>
      <c r="H170" s="276"/>
      <c r="I170" s="506"/>
      <c r="J170" s="164"/>
    </row>
    <row r="171" spans="1:13" ht="16" thickBot="1">
      <c r="A171" s="188"/>
      <c r="B171" s="213"/>
      <c r="C171" s="189"/>
      <c r="D171" s="511"/>
      <c r="E171" s="778"/>
      <c r="F171" s="599"/>
      <c r="G171" s="778"/>
      <c r="H171" s="778"/>
      <c r="I171" s="518"/>
      <c r="J171" s="218"/>
    </row>
    <row r="172" spans="1:13" ht="22.75" customHeight="1" thickBot="1">
      <c r="B172" s="941" t="s">
        <v>523</v>
      </c>
      <c r="C172" s="942"/>
      <c r="D172" s="942"/>
      <c r="E172" s="942"/>
      <c r="F172" s="942"/>
      <c r="G172" s="942"/>
      <c r="H172" s="943"/>
      <c r="I172" s="384">
        <f>IF(Projektgrundlagen!$I$26,SUM(I169:I171),0)</f>
        <v>0</v>
      </c>
      <c r="J172" s="385">
        <f>IF(Projektgrundlagen!$I$26,SUMIF(L169:L171,TRUE,J169:J171),0)</f>
        <v>0</v>
      </c>
    </row>
    <row r="173" spans="1:13" ht="7.5" customHeight="1" thickBot="1"/>
    <row r="174" spans="1:13" ht="22.75" customHeight="1" thickBot="1">
      <c r="B174" s="941" t="s">
        <v>540</v>
      </c>
      <c r="C174" s="942"/>
      <c r="D174" s="942"/>
      <c r="E174" s="942"/>
      <c r="F174" s="942"/>
      <c r="G174" s="942"/>
      <c r="H174" s="943"/>
      <c r="I174" s="384">
        <f>IF(Projektgrundlagen!$I$26,SUM(I172,I166),0)</f>
        <v>0</v>
      </c>
      <c r="J174" s="385">
        <f>IF(Projektgrundlagen!$I$26,SUMIF(L141:L173,TRUE,J141:J173),0)</f>
        <v>0</v>
      </c>
    </row>
    <row r="175" spans="1:13" ht="17" thickBot="1">
      <c r="B175" s="158"/>
    </row>
    <row r="176" spans="1:13" ht="30" customHeight="1" thickBot="1">
      <c r="B176" s="957" t="s">
        <v>538</v>
      </c>
      <c r="C176" s="958"/>
      <c r="D176" s="958"/>
      <c r="E176" s="958"/>
      <c r="F176" s="958"/>
      <c r="G176" s="958"/>
      <c r="H176" s="959"/>
      <c r="I176" s="503">
        <f>SUM(I48,I76,I120,I135,I166,I172)</f>
        <v>0</v>
      </c>
      <c r="J176" s="504">
        <f>SUM(J48,J76,J120,J135,J166,J172)</f>
        <v>0</v>
      </c>
    </row>
    <row r="177" spans="6:9" ht="12.75" customHeight="1"/>
    <row r="178" spans="6:9" ht="16.5"/>
    <row r="179" spans="6:9" ht="12.75" customHeight="1">
      <c r="F179" s="277"/>
      <c r="G179" s="277"/>
      <c r="H179" s="277"/>
      <c r="I179" s="277"/>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 ref="B2:F2"/>
    <mergeCell ref="B3:F3"/>
    <mergeCell ref="K2:K8"/>
    <mergeCell ref="B10:F10"/>
    <mergeCell ref="I3:J3"/>
    <mergeCell ref="I5:J5"/>
    <mergeCell ref="I2:J2"/>
    <mergeCell ref="G2:H2"/>
    <mergeCell ref="G3:H3"/>
    <mergeCell ref="G5:H5"/>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F65:H65"/>
    <mergeCell ref="F66:H66"/>
    <mergeCell ref="F61:H61"/>
    <mergeCell ref="F62:H62"/>
    <mergeCell ref="F63:H63"/>
    <mergeCell ref="F64:H64"/>
    <mergeCell ref="F37:H37"/>
    <mergeCell ref="F38:H38"/>
    <mergeCell ref="F67:H67"/>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s>
  <conditionalFormatting sqref="D13:J13">
    <cfRule type="expression" dxfId="412" priority="111">
      <formula>$L$13</formula>
    </cfRule>
  </conditionalFormatting>
  <conditionalFormatting sqref="D14:J14">
    <cfRule type="expression" dxfId="411" priority="110">
      <formula>$L$14</formula>
    </cfRule>
  </conditionalFormatting>
  <conditionalFormatting sqref="F119">
    <cfRule type="expression" dxfId="407" priority="2062">
      <formula>NOT(#REF!)</formula>
    </cfRule>
  </conditionalFormatting>
  <conditionalFormatting sqref="F144">
    <cfRule type="expression" dxfId="405" priority="2">
      <formula>NOT(#REF!)</formula>
    </cfRule>
  </conditionalFormatting>
  <conditionalFormatting sqref="F147">
    <cfRule type="expression" dxfId="403" priority="5">
      <formula>NOT(#REF!)</formula>
    </cfRule>
  </conditionalFormatting>
  <conditionalFormatting sqref="F150">
    <cfRule type="expression" dxfId="402" priority="8">
      <formula>NOT(#REF!)</formula>
    </cfRule>
  </conditionalFormatting>
  <conditionalFormatting sqref="F153">
    <cfRule type="expression" dxfId="399" priority="11">
      <formula>NOT(#REF!)</formula>
    </cfRule>
  </conditionalFormatting>
  <conditionalFormatting sqref="F156">
    <cfRule type="expression" dxfId="397" priority="14">
      <formula>NOT(#REF!)</formula>
    </cfRule>
  </conditionalFormatting>
  <conditionalFormatting sqref="F159">
    <cfRule type="expression" dxfId="396" priority="17">
      <formula>NOT(#REF!)</formula>
    </cfRule>
  </conditionalFormatting>
  <conditionalFormatting sqref="F162">
    <cfRule type="expression" dxfId="394" priority="20">
      <formula>NOT(#REF!)</formula>
    </cfRule>
  </conditionalFormatting>
  <conditionalFormatting sqref="F165">
    <cfRule type="expression" dxfId="391" priority="23">
      <formula>NOT(#REF!)</formula>
    </cfRule>
  </conditionalFormatting>
  <conditionalFormatting sqref="F171">
    <cfRule type="expression" dxfId="389"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12700</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12700</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12700</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12700</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12700</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12700</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12700</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12700</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12700</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12700</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12700</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12700</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12700</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12700</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12700</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12700</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12700</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12700</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12700</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12700</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12700</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9" id="{8502CEF6-07F1-4865-822B-B578DEF70E62}">
            <xm:f>NOT(Projektgrundlagen!$I$26)</xm:f>
            <x14:dxf>
              <font>
                <strike/>
                <color theme="0" tint="-0.14996795556505021"/>
              </font>
              <fill>
                <patternFill>
                  <bgColor theme="0"/>
                </patternFill>
              </fill>
            </x14:dxf>
          </x14:cfRule>
          <xm:sqref>B39:B40</xm:sqref>
        </x14:conditionalFormatting>
        <x14:conditionalFormatting xmlns:xm="http://schemas.microsoft.com/office/excel/2006/main">
          <x14:cfRule type="expression" priority="189" id="{4D9F897C-D0BF-40D4-B906-A0EDF310566B}">
            <xm:f>NOT(Projektgrundlagen!$I$26)</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NOT(Projektgrundlagen!$I$26)</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97" id="{682CDB3A-A8A9-46CF-8F90-15943D3B33DB}">
            <xm:f>NOT(Projektgrundlagen!$I$26)</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NOT(Projektgrundlagen!$I$26)</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NOT(Projektgrundlagen!$I$26)</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NOT(Projektgrundlagen!$I$26)</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NOT(Projektgrundlagen!$I$26)</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NOT(Projektgrundlagen!$I$26)</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NOT(Projektgrundlagen!$I$26)</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NOT(Projektgrundlagen!$I$26)</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NOT(Projektgrundlagen!$I$26)</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NOT(Projektgrundlagen!$I$26)</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NOT(Projektgrundlagen!$I$26)</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NOT(Projektgrundlagen!$I$26)</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NOT(Projektgrundlagen!$I$26)</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NOT(Projektgrundlagen!$I$26)</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NOT(Projektgrundlagen!$I$26)</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NOT(Projektgrundlagen!$I$26)</xm:f>
            <x14:dxf>
              <font>
                <strike/>
                <color theme="0" tint="-0.14996795556505021"/>
              </font>
              <fill>
                <patternFill>
                  <bgColor theme="0"/>
                </patternFill>
              </fill>
            </x14:dxf>
          </x14:cfRule>
          <xm:sqref>C39:E39 H39:H40 E40:E41 B41:C41</xm:sqref>
        </x14:conditionalFormatting>
        <x14:conditionalFormatting xmlns:xm="http://schemas.microsoft.com/office/excel/2006/main">
          <x14:cfRule type="expression" priority="690" id="{148B6473-B909-4AA1-B791-EFB0E5097646}">
            <xm:f>NOT(Projektgrundlagen!$I$26)</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NOT(Projektgrundlagen!$I$26)</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NOT(Projektgrundlagen!$I$26)</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NOT(Projektgrundlagen!$I$26)</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NOT(Projektgrundlagen!$I$26)</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NOT(Projektgrundlagen!$I$26)</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NOT(Projektgrundlagen!$I$26)</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NOT(Projektgrundlagen!$I$26)</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NOT(Projektgrundlagen!$I$26)</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NOT(Projektgrundlagen!$I$26)</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NOT(Projektgrundlagen!$I$26)</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NOT(Projektgrundlagen!$I$26)</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NOT(Projektgrundlagen!$I$26)</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NOT(Projektgrundlagen!$I$26)</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NOT(Projektgrundlagen!$I$26)</xm:f>
            <x14:dxf>
              <font>
                <strike/>
                <color theme="0" tint="-0.14996795556505021"/>
              </font>
              <fill>
                <patternFill>
                  <bgColor theme="0"/>
                </patternFill>
              </fill>
            </x14:dxf>
          </x14:cfRule>
          <xm:sqref>H19:H20 B19:E21 H30:H31 H33:H34 C42:E42 H42:H43 E43:E44 C44 H45:H46 B47:D47 B69:B70 H69:H70 E70:E72 B71:D72 H72 B73:E75 H74 B79:E80 H79:J80 B83:E84 H83:J84 H88:H89 H106:H107 H109:H110 H114:H115 H117:H118 H123:J124 B134:E134 H142:H143 H145:H146 H148:H149 H151:H152 H154:H155 H163:H164 H169:H170 B169:E171 I169:J171</xm:sqref>
        </x14:conditionalFormatting>
        <x14:conditionalFormatting xmlns:xm="http://schemas.microsoft.com/office/excel/2006/main">
          <x14:cfRule type="expression" priority="85" id="{14A8DBBD-37B6-49CA-B390-4640D6A79A5C}">
            <xm:f>NOT(Projektgrundlagen!$I$26)</xm:f>
            <x14:dxf>
              <font>
                <strike/>
                <color theme="0" tint="-0.14996795556505021"/>
              </font>
              <fill>
                <patternFill>
                  <bgColor theme="0"/>
                </patternFill>
              </fill>
            </x14:dxf>
          </x14:cfRule>
          <xm:sqref>H91:H92 H100:H101 H103:H104</xm:sqref>
        </x14:conditionalFormatting>
        <x14:conditionalFormatting xmlns:xm="http://schemas.microsoft.com/office/excel/2006/main">
          <x14:cfRule type="expression" priority="29" id="{7BD5F151-FB59-4AA0-A2B4-9421E7A79719}">
            <xm:f>NOT(Projektgrundlagen!$I$26)</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NOT(Projektgrundlagen!$I$26)</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NOT(Projektgrundlagen!$I$26)</xm:f>
            <x14:dxf>
              <font>
                <strike/>
                <color theme="0" tint="-0.14996795556505021"/>
              </font>
              <fill>
                <patternFill>
                  <bgColor theme="0"/>
                </patternFill>
              </fill>
            </x14:dxf>
          </x14:cfRule>
          <xm:sqref>I19:J47 B29:E34</xm:sqref>
        </x14:conditionalFormatting>
        <x14:conditionalFormatting xmlns:xm="http://schemas.microsoft.com/office/excel/2006/main">
          <x14:cfRule type="expression" priority="93" id="{C0F7E8E4-EBAB-46ED-9068-A445FE6EFCCA}">
            <xm:f>NOT(Projektgrundlagen!$I$26)</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NOT(Projektgrundlagen!$I$26)</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NOT(Projektgrundlagen!$I$26)</xm:f>
            <x14:dxf>
              <font>
                <strike/>
                <color theme="0" tint="-0.14996795556505021"/>
              </font>
              <fill>
                <patternFill>
                  <bgColor theme="0"/>
                </patternFill>
              </fill>
            </x14:dxf>
          </x14:cfRule>
          <xm:sqref>I85:J119 B99:E118</xm:sqref>
        </x14:conditionalFormatting>
        <x14:conditionalFormatting xmlns:xm="http://schemas.microsoft.com/office/excel/2006/main">
          <x14:cfRule type="expression" priority="42" id="{EBFE7AFB-0DBB-4668-B7ED-67F1E4B665A5}">
            <xm:f>NOT(Projektgrundlagen!$I$26)</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NOT(Projektgrundlagen!$I$26)</xm:f>
            <x14:dxf>
              <font>
                <strike/>
                <color theme="0" tint="-0.14996795556505021"/>
              </font>
              <fill>
                <patternFill>
                  <bgColor theme="0"/>
                </patternFill>
              </fill>
            </x14:dxf>
          </x14:cfRule>
          <xm:sqref>I142:J165 H160:H161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287"/>
  <sheetViews>
    <sheetView showGridLines="0" showRuler="0" zoomScaleNormal="100" zoomScaleSheetLayoutView="100" zoomScalePageLayoutView="110" workbookViewId="0">
      <selection activeCell="B10" sqref="B10:F10"/>
    </sheetView>
  </sheetViews>
  <sheetFormatPr baseColWidth="10" defaultColWidth="0" defaultRowHeight="0" customHeight="1" zeroHeight="1"/>
  <cols>
    <col min="1" max="1" width="5.7265625" style="379" customWidth="1"/>
    <col min="2" max="2" width="3.26953125" style="165" customWidth="1"/>
    <col min="3" max="5" width="3.26953125" style="158" customWidth="1"/>
    <col min="6" max="6" width="51.7265625" style="158" customWidth="1"/>
    <col min="7" max="8" width="7.26953125" style="158" customWidth="1"/>
    <col min="9" max="9" width="12.26953125" style="158" customWidth="1"/>
    <col min="10" max="10" width="12.7265625" style="158" customWidth="1"/>
    <col min="11" max="11" width="2.7265625" style="158" customWidth="1"/>
    <col min="12" max="12" width="16.453125" style="159" hidden="1" customWidth="1"/>
    <col min="13" max="16384" width="18" style="158" hidden="1"/>
  </cols>
  <sheetData>
    <row r="1" spans="1:15" ht="16.5"/>
    <row r="2" spans="1:15" s="1" customFormat="1" ht="16.5" customHeight="1">
      <c r="A2" s="343"/>
      <c r="B2" s="876" t="str">
        <f>IF(Projektgrundlagen!B2="","",Projektgrundlagen!B2)</f>
        <v>Landschaftspflegerischer Begleitplan</v>
      </c>
      <c r="C2" s="876"/>
      <c r="D2" s="876"/>
      <c r="E2" s="876"/>
      <c r="F2" s="877"/>
      <c r="G2" s="981" t="str">
        <f>IF(Projektgrundlagen!F2="","",Projektgrundlagen!F2)</f>
        <v>VII.05.4-LBP</v>
      </c>
      <c r="H2" s="919"/>
      <c r="I2" s="919" t="s">
        <v>512</v>
      </c>
      <c r="J2" s="920"/>
      <c r="K2" s="976" t="s">
        <v>513</v>
      </c>
      <c r="L2" s="65" t="s">
        <v>39</v>
      </c>
      <c r="O2" s="157" t="s">
        <v>111</v>
      </c>
    </row>
    <row r="3" spans="1:15" s="1" customFormat="1" ht="16.5">
      <c r="A3" s="343"/>
      <c r="B3" s="853" t="s">
        <v>660</v>
      </c>
      <c r="C3" s="853"/>
      <c r="D3" s="853"/>
      <c r="E3" s="853"/>
      <c r="F3" s="854"/>
      <c r="G3" s="982" t="str">
        <f>IF(Projektgrundlagen!F3="","",Projektgrundlagen!F3)</f>
        <v>Vertragsnr.:</v>
      </c>
      <c r="H3" s="983"/>
      <c r="I3" s="978" t="str">
        <f>IF(Projektgrundlagen!G3="","",Projektgrundlagen!G3)</f>
        <v/>
      </c>
      <c r="J3" s="979"/>
      <c r="K3" s="976"/>
      <c r="L3" s="81"/>
      <c r="O3" s="1" t="str">
        <f ca="1">MID(CELL("dateiname",A2),FIND("]",CELL("dateiname",A2))+1,255)</f>
        <v>StB-C2 Grundlstg oSt</v>
      </c>
    </row>
    <row r="4" spans="1:15" s="1" customFormat="1" ht="7.5" customHeight="1">
      <c r="A4" s="343"/>
      <c r="B4" s="287"/>
      <c r="C4" s="287"/>
      <c r="D4" s="287"/>
      <c r="E4" s="287"/>
      <c r="F4" s="287"/>
      <c r="G4" s="120"/>
      <c r="H4" s="120"/>
      <c r="I4" s="146"/>
      <c r="J4" s="146"/>
      <c r="K4" s="976"/>
      <c r="L4" s="81"/>
    </row>
    <row r="5" spans="1:15" s="1" customFormat="1" ht="16.5">
      <c r="A5" s="343"/>
      <c r="B5" s="964" t="str">
        <f>IF(Projektgrundlagen!B5="","",Projektgrundlagen!B5)</f>
        <v>Maßnahmennr:</v>
      </c>
      <c r="C5" s="965"/>
      <c r="D5" s="965"/>
      <c r="E5" s="965"/>
      <c r="F5" s="308" t="str">
        <f>IF(Projektgrundlagen!E5="","",Projektgrundlagen!E5)</f>
        <v/>
      </c>
      <c r="G5" s="984" t="str">
        <f>IF(Projektgrundlagen!F5="","",Projektgrundlagen!F5)</f>
        <v>Vergabenr.:</v>
      </c>
      <c r="H5" s="984"/>
      <c r="I5" s="927" t="str">
        <f>IF(Projektgrundlagen!G5="","",Projektgrundlagen!G5)</f>
        <v/>
      </c>
      <c r="J5" s="980"/>
      <c r="K5" s="976"/>
      <c r="L5" s="81"/>
    </row>
    <row r="6" spans="1:15" s="1" customFormat="1" ht="16.5">
      <c r="A6" s="343"/>
      <c r="B6" s="966" t="str">
        <f>IF(Projektgrundlagen!B6="","",Projektgrundlagen!B6)</f>
        <v>Bauherr:</v>
      </c>
      <c r="C6" s="967"/>
      <c r="D6" s="967"/>
      <c r="E6" s="967"/>
      <c r="F6" s="970" t="str">
        <f>IF(Projektgrundlagen!E6="","",Projektgrundlagen!E6)</f>
        <v xml:space="preserve">Mittelfränkischen Eisenbahnbetriebs GmbH  </v>
      </c>
      <c r="G6" s="970"/>
      <c r="H6" s="970"/>
      <c r="I6" s="970"/>
      <c r="J6" s="971"/>
      <c r="K6" s="976"/>
      <c r="L6" s="81"/>
    </row>
    <row r="7" spans="1:15" s="1" customFormat="1" ht="16.5">
      <c r="A7" s="343"/>
      <c r="B7" s="968" t="str">
        <f>IF(Projektgrundlagen!B7="","",Projektgrundlagen!B7)</f>
        <v>Maßnahme:</v>
      </c>
      <c r="C7" s="969"/>
      <c r="D7" s="969"/>
      <c r="E7" s="969"/>
      <c r="F7" s="972" t="str">
        <f>IF(Projektgrundlagen!E7="","",Projektgrundlagen!E7)</f>
        <v>Reaktivierung der Bahnstrecke 5331 im Abschnitt Wilburgstetten - Dombühl für den SPNV</v>
      </c>
      <c r="G7" s="972"/>
      <c r="H7" s="972"/>
      <c r="I7" s="972"/>
      <c r="J7" s="973"/>
      <c r="K7" s="976"/>
      <c r="L7" s="81"/>
    </row>
    <row r="8" spans="1:15" s="1" customFormat="1" ht="16.5">
      <c r="A8" s="343"/>
      <c r="B8" s="962" t="str">
        <f>IF(Projektgrundlagen!B8="","",Projektgrundlagen!B8)</f>
        <v>Bieter:</v>
      </c>
      <c r="C8" s="963"/>
      <c r="D8" s="963"/>
      <c r="E8" s="963"/>
      <c r="F8" s="960" t="str">
        <f>IF(Projektgrundlagen!E8="","",Projektgrundlagen!E8)</f>
        <v/>
      </c>
      <c r="G8" s="960"/>
      <c r="H8" s="960"/>
      <c r="I8" s="960"/>
      <c r="J8" s="961"/>
      <c r="K8" s="976"/>
      <c r="L8" s="81"/>
    </row>
    <row r="9" spans="1:15" ht="16.5"/>
    <row r="10" spans="1:15" ht="27" customHeight="1">
      <c r="B10" s="977" t="s">
        <v>662</v>
      </c>
      <c r="C10" s="977"/>
      <c r="D10" s="977"/>
      <c r="E10" s="977"/>
      <c r="F10" s="977"/>
      <c r="G10" s="416"/>
      <c r="H10" s="417"/>
      <c r="I10" s="737" t="s">
        <v>249</v>
      </c>
      <c r="J10" s="738" t="s">
        <v>247</v>
      </c>
    </row>
    <row r="11" spans="1:15" s="83" customFormat="1" ht="27" customHeight="1">
      <c r="A11" s="380"/>
      <c r="B11" s="595" t="s">
        <v>183</v>
      </c>
      <c r="C11" s="596"/>
      <c r="D11" s="596"/>
      <c r="E11" s="596"/>
      <c r="F11" s="596"/>
      <c r="G11" s="597"/>
      <c r="H11" s="598" t="str">
        <f>IF(Projektgrundlagen!$I$27,"","Grundleistungen Straßenbau sind nicht Teil dieser Honorarermittlung!")</f>
        <v/>
      </c>
      <c r="I11" s="601" t="s">
        <v>182</v>
      </c>
      <c r="J11" s="602" t="s">
        <v>182</v>
      </c>
      <c r="L11" s="84"/>
      <c r="M11" s="135"/>
    </row>
    <row r="12" spans="1:15" ht="7.5" customHeight="1">
      <c r="B12" s="644"/>
      <c r="C12" s="645"/>
      <c r="D12" s="645"/>
      <c r="E12" s="645"/>
      <c r="F12" s="645"/>
      <c r="G12" s="645"/>
      <c r="H12" s="645"/>
      <c r="I12" s="645"/>
      <c r="J12" s="645"/>
      <c r="M12" s="725"/>
    </row>
    <row r="13" spans="1:15" ht="16">
      <c r="A13" s="731" t="str">
        <f>IF(COUNTIF($L$13:$L$14,TRUE)&gt;1,"è","")</f>
        <v/>
      </c>
      <c r="B13" s="586"/>
      <c r="C13" s="586"/>
      <c r="D13" s="974" t="s">
        <v>396</v>
      </c>
      <c r="E13" s="974"/>
      <c r="F13" s="974"/>
      <c r="G13" s="974"/>
      <c r="H13" s="974"/>
      <c r="I13" s="974"/>
      <c r="J13" s="975"/>
      <c r="L13" s="165" t="b">
        <f>Projektgrundlagen!I19</f>
        <v>0</v>
      </c>
      <c r="M13" s="109"/>
    </row>
    <row r="14" spans="1:15" ht="16">
      <c r="A14" s="731" t="str">
        <f>IF(COUNTIF($L$13:$L$14,TRUE)&gt;1,"è","")</f>
        <v/>
      </c>
      <c r="B14" s="586"/>
      <c r="C14" s="586"/>
      <c r="D14" s="974" t="s">
        <v>397</v>
      </c>
      <c r="E14" s="974"/>
      <c r="F14" s="974"/>
      <c r="G14" s="974"/>
      <c r="H14" s="974"/>
      <c r="I14" s="974"/>
      <c r="J14" s="975"/>
      <c r="L14" s="165" t="b">
        <f>Projektgrundlagen!I21</f>
        <v>1</v>
      </c>
    </row>
    <row r="15" spans="1:15" ht="7.5" customHeight="1">
      <c r="D15" s="208"/>
      <c r="G15" s="208"/>
      <c r="H15" s="208"/>
    </row>
    <row r="16" spans="1:15" s="160" customFormat="1" ht="22.75" customHeight="1">
      <c r="A16" s="381"/>
      <c r="B16" s="387" t="s">
        <v>398</v>
      </c>
      <c r="C16" s="388"/>
      <c r="D16" s="388"/>
      <c r="E16" s="388"/>
      <c r="F16" s="388"/>
      <c r="G16" s="389"/>
      <c r="H16" s="389"/>
      <c r="I16" s="390"/>
      <c r="J16" s="391"/>
      <c r="L16" s="161"/>
    </row>
    <row r="17" spans="1:13" ht="17.5">
      <c r="B17" s="162"/>
      <c r="C17" s="780" t="s">
        <v>155</v>
      </c>
      <c r="D17" s="781"/>
      <c r="E17" s="949" t="s">
        <v>400</v>
      </c>
      <c r="F17" s="949"/>
      <c r="G17" s="949"/>
      <c r="H17" s="316"/>
      <c r="I17" s="505">
        <v>0.5</v>
      </c>
      <c r="J17" s="318">
        <f>IF(L17,I17,0)</f>
        <v>0</v>
      </c>
      <c r="L17" s="159" t="b">
        <v>0</v>
      </c>
    </row>
    <row r="18" spans="1:13" ht="16.5">
      <c r="B18" s="144"/>
      <c r="C18" s="217"/>
      <c r="D18" s="510"/>
      <c r="E18" s="948" t="s">
        <v>401</v>
      </c>
      <c r="F18" s="948"/>
      <c r="G18" s="948"/>
      <c r="H18" s="276"/>
      <c r="I18" s="506"/>
      <c r="J18" s="164"/>
    </row>
    <row r="19" spans="1:13" ht="15.5">
      <c r="A19" s="188"/>
      <c r="B19" s="215"/>
      <c r="C19" s="216"/>
      <c r="D19" s="511"/>
      <c r="E19" s="944" t="s">
        <v>416</v>
      </c>
      <c r="F19" s="945"/>
      <c r="G19" s="945"/>
      <c r="H19" s="945"/>
      <c r="I19" s="783"/>
      <c r="J19" s="784"/>
    </row>
    <row r="20" spans="1:13" ht="15.5">
      <c r="A20" s="188"/>
      <c r="B20" s="215"/>
      <c r="C20" s="216"/>
      <c r="D20" s="511"/>
      <c r="E20" s="810" t="s">
        <v>137</v>
      </c>
      <c r="F20" s="810" t="s">
        <v>417</v>
      </c>
      <c r="G20" s="810"/>
      <c r="H20" s="810"/>
      <c r="I20" s="783"/>
      <c r="J20" s="784"/>
    </row>
    <row r="21" spans="1:13" ht="15.5">
      <c r="A21" s="188"/>
      <c r="B21" s="215"/>
      <c r="C21" s="216"/>
      <c r="D21" s="511"/>
      <c r="E21" s="810" t="s">
        <v>137</v>
      </c>
      <c r="F21" s="810" t="s">
        <v>418</v>
      </c>
      <c r="G21" s="810"/>
      <c r="H21" s="810"/>
      <c r="I21" s="783"/>
      <c r="J21" s="784"/>
    </row>
    <row r="22" spans="1:13" ht="15.5">
      <c r="A22" s="188"/>
      <c r="B22" s="215"/>
      <c r="C22" s="216"/>
      <c r="D22" s="511"/>
      <c r="E22" s="810" t="s">
        <v>137</v>
      </c>
      <c r="F22" s="810" t="s">
        <v>419</v>
      </c>
      <c r="G22" s="810"/>
      <c r="H22" s="810"/>
      <c r="I22" s="783"/>
      <c r="J22" s="784"/>
    </row>
    <row r="23" spans="1:13" ht="15" customHeight="1">
      <c r="A23" s="188"/>
      <c r="B23" s="215"/>
      <c r="C23" s="216"/>
      <c r="D23" s="511"/>
      <c r="E23" s="810" t="s">
        <v>137</v>
      </c>
      <c r="F23" s="944" t="s">
        <v>420</v>
      </c>
      <c r="G23" s="944"/>
      <c r="H23" s="947"/>
      <c r="I23" s="783"/>
      <c r="J23" s="784"/>
    </row>
    <row r="24" spans="1:13" ht="15.5">
      <c r="A24" s="188"/>
      <c r="B24" s="215"/>
      <c r="C24" s="216"/>
      <c r="D24" s="511"/>
      <c r="E24" s="810" t="s">
        <v>137</v>
      </c>
      <c r="F24" s="810" t="s">
        <v>421</v>
      </c>
      <c r="G24" s="810"/>
      <c r="H24" s="810"/>
      <c r="I24" s="783"/>
      <c r="J24" s="784"/>
    </row>
    <row r="25" spans="1:13" ht="15.5">
      <c r="A25" s="188"/>
      <c r="B25" s="215"/>
      <c r="C25" s="216"/>
      <c r="D25" s="511"/>
      <c r="E25" s="810" t="s">
        <v>137</v>
      </c>
      <c r="F25" s="810" t="s">
        <v>422</v>
      </c>
      <c r="G25" s="810"/>
      <c r="H25" s="810"/>
      <c r="I25" s="783"/>
      <c r="J25" s="784"/>
    </row>
    <row r="26" spans="1:13" ht="15.5">
      <c r="A26" s="188"/>
      <c r="B26" s="215"/>
      <c r="C26" s="216"/>
      <c r="D26" s="511"/>
      <c r="E26" s="810" t="s">
        <v>137</v>
      </c>
      <c r="F26" s="810" t="s">
        <v>423</v>
      </c>
      <c r="G26" s="810"/>
      <c r="H26" s="810"/>
      <c r="I26" s="783"/>
      <c r="J26" s="784"/>
    </row>
    <row r="27" spans="1:13" ht="15" customHeight="1">
      <c r="A27" s="188"/>
      <c r="B27" s="215"/>
      <c r="C27" s="216"/>
      <c r="D27" s="511"/>
      <c r="E27" s="953" t="s">
        <v>424</v>
      </c>
      <c r="F27" s="953"/>
      <c r="G27" s="953"/>
      <c r="H27" s="954"/>
      <c r="I27" s="783"/>
      <c r="J27" s="784"/>
    </row>
    <row r="28" spans="1:13" ht="17.5">
      <c r="B28" s="163"/>
      <c r="C28" s="780" t="s">
        <v>156</v>
      </c>
      <c r="D28" s="782"/>
      <c r="E28" s="951" t="s">
        <v>268</v>
      </c>
      <c r="F28" s="951"/>
      <c r="G28" s="951"/>
      <c r="H28" s="316"/>
      <c r="I28" s="507">
        <v>0.5</v>
      </c>
      <c r="J28" s="318">
        <f>IF(L28,I28,0)</f>
        <v>0</v>
      </c>
      <c r="L28" s="159" t="b">
        <v>0</v>
      </c>
    </row>
    <row r="29" spans="1:13" s="83" customFormat="1" ht="16.5" customHeight="1">
      <c r="A29" s="380"/>
      <c r="B29" s="144"/>
      <c r="C29" s="217"/>
      <c r="D29" s="510"/>
      <c r="E29" s="948"/>
      <c r="F29" s="948"/>
      <c r="G29" s="948"/>
      <c r="H29" s="276"/>
      <c r="I29" s="506"/>
      <c r="J29" s="164"/>
      <c r="L29" s="84"/>
      <c r="M29" s="136"/>
    </row>
    <row r="30" spans="1:13" ht="15.5">
      <c r="A30" s="188"/>
      <c r="B30" s="213"/>
      <c r="C30" s="189"/>
      <c r="D30" s="510"/>
      <c r="E30" s="944" t="s">
        <v>410</v>
      </c>
      <c r="F30" s="945"/>
      <c r="G30" s="945"/>
      <c r="H30" s="945"/>
      <c r="I30" s="783"/>
      <c r="J30" s="784"/>
    </row>
    <row r="31" spans="1:13" ht="17.5">
      <c r="B31" s="163"/>
      <c r="C31" s="780" t="s">
        <v>157</v>
      </c>
      <c r="D31" s="782"/>
      <c r="E31" s="951" t="s">
        <v>402</v>
      </c>
      <c r="F31" s="951"/>
      <c r="G31" s="951"/>
      <c r="H31" s="316"/>
      <c r="I31" s="507">
        <v>1</v>
      </c>
      <c r="J31" s="318">
        <f>IF(L31,I31,0)</f>
        <v>0</v>
      </c>
      <c r="L31" s="159" t="b">
        <v>0</v>
      </c>
    </row>
    <row r="32" spans="1:13" s="83" customFormat="1" ht="16.5" customHeight="1">
      <c r="A32" s="380"/>
      <c r="B32" s="144"/>
      <c r="C32" s="217"/>
      <c r="D32" s="510"/>
      <c r="E32" s="948" t="s">
        <v>403</v>
      </c>
      <c r="F32" s="948"/>
      <c r="G32" s="948"/>
      <c r="H32" s="276"/>
      <c r="I32" s="506"/>
      <c r="J32" s="164"/>
      <c r="L32" s="84"/>
      <c r="M32" s="136"/>
    </row>
    <row r="33" spans="1:13" ht="22.5" customHeight="1">
      <c r="A33" s="188"/>
      <c r="B33" s="213"/>
      <c r="C33" s="189"/>
      <c r="D33" s="511"/>
      <c r="E33" s="944" t="s">
        <v>412</v>
      </c>
      <c r="F33" s="944"/>
      <c r="G33" s="944"/>
      <c r="H33" s="944"/>
      <c r="I33" s="508"/>
      <c r="J33" s="164"/>
    </row>
    <row r="34" spans="1:13" ht="24" customHeight="1">
      <c r="A34" s="188"/>
      <c r="B34" s="213"/>
      <c r="C34" s="189"/>
      <c r="D34" s="511"/>
      <c r="E34" s="810" t="s">
        <v>137</v>
      </c>
      <c r="F34" s="944" t="s">
        <v>413</v>
      </c>
      <c r="G34" s="944"/>
      <c r="H34" s="947"/>
      <c r="I34" s="508"/>
      <c r="J34" s="164"/>
    </row>
    <row r="35" spans="1:13" ht="15" customHeight="1">
      <c r="A35" s="188"/>
      <c r="B35" s="213"/>
      <c r="C35" s="189"/>
      <c r="D35" s="511"/>
      <c r="E35" s="810" t="s">
        <v>137</v>
      </c>
      <c r="F35" s="944" t="s">
        <v>414</v>
      </c>
      <c r="G35" s="944"/>
      <c r="H35" s="947"/>
      <c r="I35" s="508"/>
      <c r="J35" s="164"/>
    </row>
    <row r="36" spans="1:13" ht="15" customHeight="1">
      <c r="A36" s="188"/>
      <c r="B36" s="213"/>
      <c r="C36" s="189"/>
      <c r="D36" s="511"/>
      <c r="E36" s="810" t="s">
        <v>137</v>
      </c>
      <c r="F36" s="953" t="s">
        <v>415</v>
      </c>
      <c r="G36" s="953"/>
      <c r="H36" s="954"/>
      <c r="I36" s="508"/>
      <c r="J36" s="164"/>
    </row>
    <row r="37" spans="1:13" ht="18" customHeight="1">
      <c r="B37" s="163"/>
      <c r="C37" s="780" t="s">
        <v>158</v>
      </c>
      <c r="D37" s="782" t="s">
        <v>52</v>
      </c>
      <c r="E37" s="951" t="s">
        <v>404</v>
      </c>
      <c r="F37" s="951"/>
      <c r="G37" s="951"/>
      <c r="H37" s="316"/>
      <c r="I37" s="507">
        <v>0.4</v>
      </c>
      <c r="J37" s="318">
        <f>IF(L37,I37,0)</f>
        <v>0</v>
      </c>
      <c r="L37" s="159" t="b">
        <v>0</v>
      </c>
    </row>
    <row r="38" spans="1:13" ht="16.5">
      <c r="B38" s="209"/>
      <c r="C38" s="217"/>
      <c r="D38" s="510"/>
      <c r="E38" s="948"/>
      <c r="F38" s="948"/>
      <c r="G38" s="948"/>
      <c r="H38" s="276"/>
      <c r="I38" s="506"/>
      <c r="J38" s="164"/>
    </row>
    <row r="39" spans="1:13" ht="27" customHeight="1">
      <c r="A39" s="188"/>
      <c r="B39" s="214"/>
      <c r="C39" s="320"/>
      <c r="D39" s="512"/>
      <c r="E39" s="953" t="s">
        <v>411</v>
      </c>
      <c r="F39" s="953"/>
      <c r="G39" s="953"/>
      <c r="H39" s="953"/>
      <c r="I39" s="509"/>
      <c r="J39" s="317"/>
    </row>
    <row r="40" spans="1:13" ht="18" customHeight="1">
      <c r="B40" s="163"/>
      <c r="C40" s="780" t="s">
        <v>159</v>
      </c>
      <c r="D40" s="782" t="s">
        <v>52</v>
      </c>
      <c r="E40" s="951" t="s">
        <v>405</v>
      </c>
      <c r="F40" s="951"/>
      <c r="G40" s="951"/>
      <c r="H40" s="316"/>
      <c r="I40" s="507">
        <v>0.4</v>
      </c>
      <c r="J40" s="318">
        <f>IF(L40,I40,0)</f>
        <v>0</v>
      </c>
      <c r="L40" s="159" t="b">
        <v>0</v>
      </c>
    </row>
    <row r="41" spans="1:13" ht="16.5">
      <c r="B41" s="209"/>
      <c r="C41" s="217"/>
      <c r="D41" s="510"/>
      <c r="E41" s="948" t="s">
        <v>406</v>
      </c>
      <c r="F41" s="948"/>
      <c r="G41" s="948"/>
      <c r="H41" s="276"/>
      <c r="I41" s="506"/>
      <c r="J41" s="164"/>
    </row>
    <row r="42" spans="1:13" ht="27" customHeight="1">
      <c r="A42" s="188"/>
      <c r="B42" s="214"/>
      <c r="C42" s="320"/>
      <c r="D42" s="512"/>
      <c r="E42" s="953" t="s">
        <v>640</v>
      </c>
      <c r="F42" s="953"/>
      <c r="G42" s="953"/>
      <c r="H42" s="953"/>
      <c r="I42" s="509"/>
      <c r="J42" s="317"/>
    </row>
    <row r="43" spans="1:13" ht="17.5">
      <c r="B43" s="603"/>
      <c r="C43" s="780" t="s">
        <v>160</v>
      </c>
      <c r="D43" s="782"/>
      <c r="E43" s="951" t="s">
        <v>408</v>
      </c>
      <c r="F43" s="951"/>
      <c r="G43" s="951"/>
      <c r="H43" s="316"/>
      <c r="I43" s="507">
        <v>0.2</v>
      </c>
      <c r="J43" s="318">
        <f>IF(L43,I43,0)</f>
        <v>0</v>
      </c>
      <c r="L43" s="159" t="b">
        <v>0</v>
      </c>
    </row>
    <row r="44" spans="1:13" ht="16.5">
      <c r="B44" s="209"/>
      <c r="C44" s="217"/>
      <c r="D44" s="510"/>
      <c r="E44" s="948" t="s">
        <v>407</v>
      </c>
      <c r="F44" s="948"/>
      <c r="G44" s="948"/>
      <c r="H44" s="276"/>
      <c r="I44" s="506"/>
      <c r="J44" s="164"/>
    </row>
    <row r="45" spans="1:13" s="83" customFormat="1" ht="16.5" customHeight="1" thickBot="1">
      <c r="A45" s="380"/>
      <c r="B45" s="155"/>
      <c r="C45" s="217"/>
      <c r="D45" s="510"/>
      <c r="E45" s="953" t="s">
        <v>409</v>
      </c>
      <c r="F45" s="953"/>
      <c r="G45" s="953"/>
      <c r="H45" s="953"/>
      <c r="I45" s="506"/>
      <c r="J45" s="164"/>
      <c r="L45" s="84"/>
      <c r="M45" s="136"/>
    </row>
    <row r="46" spans="1:13" ht="22.75" customHeight="1" thickBot="1">
      <c r="B46" s="941" t="s">
        <v>304</v>
      </c>
      <c r="C46" s="942"/>
      <c r="D46" s="942"/>
      <c r="E46" s="942"/>
      <c r="F46" s="942"/>
      <c r="G46" s="942"/>
      <c r="H46" s="943"/>
      <c r="I46" s="384">
        <f>IF(Projektgrundlagen!$I$27,SUM(I17:I45),0)</f>
        <v>3</v>
      </c>
      <c r="J46" s="385">
        <f>IF(Projektgrundlagen!$I$27,SUMIF(L17:L45,TRUE,J17:J45),0)</f>
        <v>0</v>
      </c>
    </row>
    <row r="47" spans="1:13" ht="7.5" customHeight="1"/>
    <row r="48" spans="1:13" s="160" customFormat="1" ht="22.75" customHeight="1">
      <c r="A48" s="381"/>
      <c r="B48" s="387" t="s">
        <v>399</v>
      </c>
      <c r="C48" s="388"/>
      <c r="D48" s="388"/>
      <c r="E48" s="388"/>
      <c r="F48" s="388"/>
      <c r="G48" s="390"/>
      <c r="H48" s="390"/>
      <c r="I48" s="392"/>
      <c r="J48" s="393"/>
      <c r="L48" s="161"/>
    </row>
    <row r="49" spans="1:13" ht="17.5">
      <c r="B49" s="163"/>
      <c r="C49" s="780" t="s">
        <v>155</v>
      </c>
      <c r="D49" s="781"/>
      <c r="E49" s="949" t="s">
        <v>427</v>
      </c>
      <c r="F49" s="949"/>
      <c r="G49" s="949"/>
      <c r="H49" s="321"/>
      <c r="I49" s="505">
        <v>12</v>
      </c>
      <c r="J49" s="848">
        <v>4</v>
      </c>
      <c r="L49" s="159" t="b">
        <v>1</v>
      </c>
    </row>
    <row r="50" spans="1:13" s="83" customFormat="1" ht="42" customHeight="1">
      <c r="A50" s="380"/>
      <c r="B50" s="144"/>
      <c r="C50" s="217"/>
      <c r="D50" s="510"/>
      <c r="E50" s="948" t="s">
        <v>426</v>
      </c>
      <c r="F50" s="948"/>
      <c r="G50" s="948"/>
      <c r="H50" s="276"/>
      <c r="I50" s="506"/>
      <c r="J50" s="164"/>
      <c r="L50" s="84"/>
      <c r="M50" s="136"/>
    </row>
    <row r="51" spans="1:13" ht="50.25" customHeight="1">
      <c r="A51" s="188"/>
      <c r="B51" s="213"/>
      <c r="C51" s="189"/>
      <c r="D51" s="513"/>
      <c r="E51" s="944" t="s">
        <v>428</v>
      </c>
      <c r="F51" s="944"/>
      <c r="G51" s="944"/>
      <c r="H51" s="944"/>
      <c r="I51" s="515"/>
      <c r="J51" s="218"/>
    </row>
    <row r="52" spans="1:13" ht="40.5" customHeight="1">
      <c r="A52" s="188"/>
      <c r="B52" s="213"/>
      <c r="C52" s="189"/>
      <c r="D52" s="513"/>
      <c r="E52" s="944" t="s">
        <v>656</v>
      </c>
      <c r="F52" s="944"/>
      <c r="G52" s="944"/>
      <c r="H52" s="944"/>
      <c r="I52" s="515"/>
      <c r="J52" s="218"/>
    </row>
    <row r="53" spans="1:13" ht="27" customHeight="1">
      <c r="A53" s="188"/>
      <c r="B53" s="213"/>
      <c r="C53" s="189"/>
      <c r="D53" s="513"/>
      <c r="E53" s="986" t="s">
        <v>436</v>
      </c>
      <c r="F53" s="944"/>
      <c r="G53" s="944"/>
      <c r="H53" s="944"/>
      <c r="I53" s="515"/>
      <c r="J53" s="218"/>
    </row>
    <row r="54" spans="1:13" ht="40" customHeight="1">
      <c r="A54" s="188"/>
      <c r="B54" s="213"/>
      <c r="C54" s="189"/>
      <c r="D54" s="513"/>
      <c r="E54" s="944" t="s">
        <v>437</v>
      </c>
      <c r="F54" s="944"/>
      <c r="G54" s="944"/>
      <c r="H54" s="944"/>
      <c r="I54" s="515"/>
      <c r="J54" s="218"/>
    </row>
    <row r="55" spans="1:13" ht="40" customHeight="1">
      <c r="A55" s="188"/>
      <c r="B55" s="213"/>
      <c r="C55" s="189"/>
      <c r="D55" s="513"/>
      <c r="E55" s="944" t="s">
        <v>654</v>
      </c>
      <c r="F55" s="944"/>
      <c r="G55" s="944"/>
      <c r="H55" s="944"/>
      <c r="I55" s="515"/>
      <c r="J55" s="218"/>
    </row>
    <row r="56" spans="1:13" ht="15.5">
      <c r="A56" s="188"/>
      <c r="B56" s="213"/>
      <c r="C56" s="189"/>
      <c r="D56" s="513"/>
      <c r="E56" s="944" t="s">
        <v>439</v>
      </c>
      <c r="F56" s="944"/>
      <c r="G56" s="944"/>
      <c r="H56" s="944"/>
      <c r="I56" s="515"/>
      <c r="J56" s="218"/>
    </row>
    <row r="57" spans="1:13" ht="27" customHeight="1">
      <c r="A57" s="188"/>
      <c r="B57" s="213"/>
      <c r="C57" s="189"/>
      <c r="D57" s="513"/>
      <c r="E57" s="810" t="s">
        <v>137</v>
      </c>
      <c r="F57" s="944" t="s">
        <v>440</v>
      </c>
      <c r="G57" s="944"/>
      <c r="H57" s="947"/>
      <c r="I57" s="515"/>
      <c r="J57" s="218"/>
    </row>
    <row r="58" spans="1:13" ht="27" customHeight="1">
      <c r="A58" s="188"/>
      <c r="B58" s="213"/>
      <c r="C58" s="189"/>
      <c r="D58" s="513"/>
      <c r="E58" s="810" t="s">
        <v>137</v>
      </c>
      <c r="F58" s="944" t="s">
        <v>655</v>
      </c>
      <c r="G58" s="944"/>
      <c r="H58" s="947"/>
      <c r="I58" s="515"/>
      <c r="J58" s="218"/>
    </row>
    <row r="59" spans="1:13" ht="27" customHeight="1">
      <c r="A59" s="188"/>
      <c r="B59" s="213"/>
      <c r="C59" s="189"/>
      <c r="D59" s="513"/>
      <c r="E59" s="810" t="s">
        <v>137</v>
      </c>
      <c r="F59" s="944" t="s">
        <v>641</v>
      </c>
      <c r="G59" s="944"/>
      <c r="H59" s="947"/>
      <c r="I59" s="515"/>
      <c r="J59" s="218"/>
    </row>
    <row r="60" spans="1:13" ht="15.5">
      <c r="A60" s="188"/>
      <c r="B60" s="213"/>
      <c r="C60" s="189"/>
      <c r="D60" s="513"/>
      <c r="E60" s="810" t="s">
        <v>137</v>
      </c>
      <c r="F60" s="944" t="s">
        <v>442</v>
      </c>
      <c r="G60" s="944"/>
      <c r="H60" s="947"/>
      <c r="I60" s="515"/>
      <c r="J60" s="218"/>
    </row>
    <row r="61" spans="1:13" ht="15" customHeight="1">
      <c r="A61" s="188"/>
      <c r="B61" s="213"/>
      <c r="C61" s="189"/>
      <c r="D61" s="513"/>
      <c r="E61" s="810" t="s">
        <v>137</v>
      </c>
      <c r="F61" s="944" t="s">
        <v>443</v>
      </c>
      <c r="G61" s="944"/>
      <c r="H61" s="947"/>
      <c r="I61" s="515"/>
      <c r="J61" s="218"/>
    </row>
    <row r="62" spans="1:13" ht="15.5">
      <c r="A62" s="188"/>
      <c r="B62" s="213"/>
      <c r="C62" s="189"/>
      <c r="D62" s="513"/>
      <c r="E62" s="810" t="s">
        <v>137</v>
      </c>
      <c r="F62" s="944" t="s">
        <v>444</v>
      </c>
      <c r="G62" s="944"/>
      <c r="H62" s="947"/>
      <c r="I62" s="515"/>
      <c r="J62" s="218"/>
    </row>
    <row r="63" spans="1:13" ht="15.5">
      <c r="A63" s="188"/>
      <c r="B63" s="213"/>
      <c r="C63" s="189"/>
      <c r="D63" s="513"/>
      <c r="E63" s="810" t="s">
        <v>137</v>
      </c>
      <c r="F63" s="944" t="s">
        <v>445</v>
      </c>
      <c r="G63" s="944"/>
      <c r="H63" s="947"/>
      <c r="I63" s="515"/>
      <c r="J63" s="218"/>
    </row>
    <row r="64" spans="1:13" ht="15.5">
      <c r="A64" s="188"/>
      <c r="B64" s="213"/>
      <c r="C64" s="189"/>
      <c r="D64" s="513"/>
      <c r="E64" s="810" t="s">
        <v>137</v>
      </c>
      <c r="F64" s="944" t="s">
        <v>446</v>
      </c>
      <c r="G64" s="944"/>
      <c r="H64" s="947"/>
      <c r="I64" s="515"/>
      <c r="J64" s="218"/>
    </row>
    <row r="65" spans="1:13" ht="15.5">
      <c r="A65" s="188"/>
      <c r="B65" s="213"/>
      <c r="C65" s="189"/>
      <c r="D65" s="513"/>
      <c r="E65" s="810" t="s">
        <v>137</v>
      </c>
      <c r="F65" s="944" t="s">
        <v>447</v>
      </c>
      <c r="G65" s="944"/>
      <c r="H65" s="947"/>
      <c r="I65" s="515"/>
      <c r="J65" s="218"/>
    </row>
    <row r="66" spans="1:13" ht="39" customHeight="1">
      <c r="A66" s="188"/>
      <c r="B66" s="213"/>
      <c r="C66" s="189"/>
      <c r="D66" s="513"/>
      <c r="E66" s="810" t="s">
        <v>137</v>
      </c>
      <c r="F66" s="953" t="s">
        <v>448</v>
      </c>
      <c r="G66" s="953"/>
      <c r="H66" s="954"/>
      <c r="I66" s="515"/>
      <c r="J66" s="218"/>
    </row>
    <row r="67" spans="1:13" ht="17.5">
      <c r="B67" s="162"/>
      <c r="C67" s="780" t="s">
        <v>156</v>
      </c>
      <c r="D67" s="782"/>
      <c r="E67" s="951" t="s">
        <v>429</v>
      </c>
      <c r="F67" s="951"/>
      <c r="G67" s="951"/>
      <c r="H67" s="316"/>
      <c r="I67" s="507">
        <v>25</v>
      </c>
      <c r="J67" s="318">
        <f>IF(L67,I67,0)</f>
        <v>25</v>
      </c>
      <c r="L67" s="159" t="b">
        <v>1</v>
      </c>
    </row>
    <row r="68" spans="1:13" s="83" customFormat="1" ht="42" customHeight="1">
      <c r="A68" s="85"/>
      <c r="B68" s="144"/>
      <c r="C68" s="217"/>
      <c r="D68" s="510"/>
      <c r="E68" s="948" t="s">
        <v>430</v>
      </c>
      <c r="F68" s="948"/>
      <c r="G68" s="948"/>
      <c r="H68" s="276"/>
      <c r="I68" s="506"/>
      <c r="J68" s="164"/>
      <c r="L68" s="84"/>
      <c r="M68" s="136"/>
    </row>
    <row r="69" spans="1:13" ht="15.5">
      <c r="A69" s="188"/>
      <c r="B69" s="213"/>
      <c r="C69" s="189"/>
      <c r="D69" s="513"/>
      <c r="E69" s="944" t="s">
        <v>431</v>
      </c>
      <c r="F69" s="944"/>
      <c r="G69" s="944"/>
      <c r="H69" s="944"/>
      <c r="I69" s="515"/>
      <c r="J69" s="218"/>
    </row>
    <row r="70" spans="1:13" ht="27" customHeight="1">
      <c r="B70" s="213"/>
      <c r="C70" s="217"/>
      <c r="D70" s="510"/>
      <c r="E70" s="948" t="s">
        <v>432</v>
      </c>
      <c r="F70" s="948"/>
      <c r="G70" s="948"/>
      <c r="H70" s="276"/>
      <c r="I70" s="506"/>
      <c r="J70" s="164"/>
    </row>
    <row r="71" spans="1:13" ht="15.5">
      <c r="A71" s="188"/>
      <c r="B71" s="213"/>
      <c r="C71" s="216"/>
      <c r="D71" s="510"/>
      <c r="E71" s="945"/>
      <c r="F71" s="945"/>
      <c r="G71" s="945"/>
      <c r="H71" s="945"/>
      <c r="I71" s="508"/>
      <c r="J71" s="164"/>
    </row>
    <row r="72" spans="1:13" ht="27" customHeight="1">
      <c r="B72" s="213"/>
      <c r="C72" s="217"/>
      <c r="D72" s="510"/>
      <c r="E72" s="948" t="s">
        <v>433</v>
      </c>
      <c r="F72" s="948"/>
      <c r="G72" s="948"/>
      <c r="H72" s="276"/>
      <c r="I72" s="506"/>
      <c r="J72" s="164"/>
    </row>
    <row r="73" spans="1:13" ht="40.5" customHeight="1" thickBot="1">
      <c r="A73" s="188"/>
      <c r="B73" s="213"/>
      <c r="C73" s="216"/>
      <c r="D73" s="514"/>
      <c r="E73" s="945" t="s">
        <v>434</v>
      </c>
      <c r="F73" s="945"/>
      <c r="G73" s="945"/>
      <c r="H73" s="945"/>
      <c r="I73" s="508"/>
      <c r="J73" s="164"/>
    </row>
    <row r="74" spans="1:13" ht="22.75" customHeight="1" thickBot="1">
      <c r="B74" s="383"/>
      <c r="C74" s="942"/>
      <c r="D74" s="942"/>
      <c r="E74" s="942"/>
      <c r="F74" s="942" t="s">
        <v>425</v>
      </c>
      <c r="G74" s="942"/>
      <c r="H74" s="942"/>
      <c r="I74" s="384">
        <f>IF(Projektgrundlagen!$I$27,SUM(I49:I73),0)</f>
        <v>37</v>
      </c>
      <c r="J74" s="385">
        <f>IF(Projektgrundlagen!$I$27,SUMIF(L49:L73,TRUE,J49:J73),0)</f>
        <v>29</v>
      </c>
    </row>
    <row r="75" spans="1:13" ht="7.5" customHeight="1"/>
    <row r="76" spans="1:13" ht="22.75" customHeight="1">
      <c r="B76" s="387" t="s">
        <v>449</v>
      </c>
      <c r="C76" s="388"/>
      <c r="D76" s="388"/>
      <c r="E76" s="388"/>
      <c r="F76" s="388"/>
      <c r="G76" s="394"/>
      <c r="H76" s="394"/>
      <c r="I76" s="392"/>
      <c r="J76" s="393"/>
    </row>
    <row r="77" spans="1:13" ht="17.5">
      <c r="B77" s="163"/>
      <c r="C77" s="780" t="s">
        <v>155</v>
      </c>
      <c r="D77" s="781" t="s">
        <v>10</v>
      </c>
      <c r="E77" s="949" t="s">
        <v>451</v>
      </c>
      <c r="F77" s="949"/>
      <c r="G77" s="949"/>
      <c r="H77" s="316"/>
      <c r="I77" s="505">
        <v>11.75</v>
      </c>
      <c r="J77" s="318">
        <f>IF(L77,I77,0)</f>
        <v>11.75</v>
      </c>
      <c r="L77" s="159" t="b">
        <v>1</v>
      </c>
    </row>
    <row r="78" spans="1:13" ht="44.25" customHeight="1">
      <c r="B78" s="209"/>
      <c r="C78" s="217"/>
      <c r="D78" s="510"/>
      <c r="E78" s="948" t="s">
        <v>452</v>
      </c>
      <c r="F78" s="948"/>
      <c r="G78" s="948"/>
      <c r="H78" s="276"/>
      <c r="I78" s="506"/>
      <c r="J78" s="164"/>
    </row>
    <row r="79" spans="1:13" ht="27" customHeight="1">
      <c r="A79" s="188"/>
      <c r="B79" s="213"/>
      <c r="C79" s="216"/>
      <c r="D79" s="510"/>
      <c r="E79" s="985" t="s">
        <v>458</v>
      </c>
      <c r="F79" s="985"/>
      <c r="G79" s="985"/>
      <c r="H79" s="985"/>
      <c r="I79" s="508"/>
      <c r="J79" s="164"/>
    </row>
    <row r="80" spans="1:13" ht="40.5" customHeight="1">
      <c r="A80" s="188"/>
      <c r="B80" s="213"/>
      <c r="C80" s="189"/>
      <c r="D80" s="513"/>
      <c r="E80" s="810" t="s">
        <v>137</v>
      </c>
      <c r="F80" s="944" t="s">
        <v>644</v>
      </c>
      <c r="G80" s="944"/>
      <c r="H80" s="947"/>
      <c r="I80" s="515"/>
      <c r="J80" s="218"/>
    </row>
    <row r="81" spans="1:12" ht="40.5" customHeight="1">
      <c r="A81" s="188"/>
      <c r="B81" s="213"/>
      <c r="C81" s="189"/>
      <c r="D81" s="513"/>
      <c r="E81" s="810" t="s">
        <v>137</v>
      </c>
      <c r="F81" s="944" t="s">
        <v>455</v>
      </c>
      <c r="G81" s="944"/>
      <c r="H81" s="947"/>
      <c r="I81" s="515"/>
      <c r="J81" s="218"/>
    </row>
    <row r="82" spans="1:12" ht="17.5">
      <c r="B82" s="163"/>
      <c r="C82" s="780" t="s">
        <v>156</v>
      </c>
      <c r="D82" s="782"/>
      <c r="E82" s="951" t="s">
        <v>456</v>
      </c>
      <c r="F82" s="951"/>
      <c r="G82" s="951"/>
      <c r="H82" s="316"/>
      <c r="I82" s="507">
        <v>6</v>
      </c>
      <c r="J82" s="318">
        <f>IF(L82,I82,0)</f>
        <v>6</v>
      </c>
      <c r="L82" s="159" t="b">
        <v>1</v>
      </c>
    </row>
    <row r="83" spans="1:12" ht="43.5" customHeight="1">
      <c r="B83" s="209"/>
      <c r="C83" s="217"/>
      <c r="D83" s="510"/>
      <c r="E83" s="948" t="s">
        <v>457</v>
      </c>
      <c r="F83" s="948"/>
      <c r="G83" s="948"/>
      <c r="H83" s="276"/>
      <c r="I83" s="506"/>
      <c r="J83" s="164"/>
    </row>
    <row r="84" spans="1:12" ht="27" customHeight="1">
      <c r="A84" s="188"/>
      <c r="B84" s="213"/>
      <c r="C84" s="216"/>
      <c r="D84" s="510"/>
      <c r="E84" s="985" t="s">
        <v>453</v>
      </c>
      <c r="F84" s="985"/>
      <c r="G84" s="985"/>
      <c r="H84" s="985"/>
      <c r="I84" s="508"/>
      <c r="J84" s="164"/>
    </row>
    <row r="85" spans="1:12" ht="40.5" customHeight="1">
      <c r="A85" s="188"/>
      <c r="B85" s="213"/>
      <c r="C85" s="189"/>
      <c r="D85" s="513"/>
      <c r="E85" s="810" t="s">
        <v>137</v>
      </c>
      <c r="F85" s="944" t="s">
        <v>459</v>
      </c>
      <c r="G85" s="944"/>
      <c r="H85" s="947"/>
      <c r="I85" s="515"/>
      <c r="J85" s="218"/>
    </row>
    <row r="86" spans="1:12" ht="40.5" customHeight="1">
      <c r="A86" s="188"/>
      <c r="B86" s="213"/>
      <c r="C86" s="189"/>
      <c r="D86" s="513"/>
      <c r="E86" s="810" t="s">
        <v>137</v>
      </c>
      <c r="F86" s="944" t="s">
        <v>645</v>
      </c>
      <c r="G86" s="944"/>
      <c r="H86" s="947"/>
      <c r="I86" s="515"/>
      <c r="J86" s="218"/>
    </row>
    <row r="87" spans="1:12" ht="27" customHeight="1">
      <c r="A87" s="188"/>
      <c r="B87" s="213"/>
      <c r="C87" s="189"/>
      <c r="D87" s="513"/>
      <c r="E87" s="810" t="s">
        <v>137</v>
      </c>
      <c r="F87" s="944" t="s">
        <v>646</v>
      </c>
      <c r="G87" s="944"/>
      <c r="H87" s="947"/>
      <c r="I87" s="515"/>
      <c r="J87" s="218"/>
    </row>
    <row r="88" spans="1:12" ht="17.5">
      <c r="B88" s="163"/>
      <c r="C88" s="787" t="s">
        <v>157</v>
      </c>
      <c r="D88" s="788"/>
      <c r="E88" s="951" t="s">
        <v>462</v>
      </c>
      <c r="F88" s="951"/>
      <c r="G88" s="951"/>
      <c r="H88" s="316"/>
      <c r="I88" s="507">
        <v>3.5</v>
      </c>
      <c r="J88" s="318">
        <f>IF(L88,I88,0)</f>
        <v>3.5</v>
      </c>
      <c r="L88" s="159" t="b">
        <v>1</v>
      </c>
    </row>
    <row r="89" spans="1:12" ht="16.5">
      <c r="B89" s="209"/>
      <c r="C89" s="217"/>
      <c r="D89" s="510"/>
      <c r="E89" s="948" t="s">
        <v>463</v>
      </c>
      <c r="F89" s="948"/>
      <c r="G89" s="948"/>
      <c r="H89" s="276"/>
      <c r="I89" s="506"/>
      <c r="J89" s="164"/>
    </row>
    <row r="90" spans="1:12" ht="27" customHeight="1">
      <c r="A90" s="188"/>
      <c r="B90" s="213"/>
      <c r="C90" s="216"/>
      <c r="D90" s="510"/>
      <c r="E90" s="985" t="s">
        <v>464</v>
      </c>
      <c r="F90" s="985"/>
      <c r="G90" s="985"/>
      <c r="H90" s="985"/>
      <c r="I90" s="508"/>
      <c r="J90" s="164"/>
    </row>
    <row r="91" spans="1:12" ht="40.5" customHeight="1">
      <c r="A91" s="188"/>
      <c r="B91" s="213"/>
      <c r="C91" s="216"/>
      <c r="D91" s="510"/>
      <c r="E91" s="953" t="s">
        <v>465</v>
      </c>
      <c r="F91" s="955"/>
      <c r="G91" s="955"/>
      <c r="H91" s="956"/>
      <c r="I91" s="508"/>
      <c r="J91" s="164"/>
    </row>
    <row r="92" spans="1:12" ht="17.5">
      <c r="B92" s="163"/>
      <c r="C92" s="780" t="s">
        <v>158</v>
      </c>
      <c r="D92" s="782"/>
      <c r="E92" s="951" t="s">
        <v>466</v>
      </c>
      <c r="F92" s="951"/>
      <c r="G92" s="951"/>
      <c r="H92" s="316"/>
      <c r="I92" s="507">
        <v>15.5</v>
      </c>
      <c r="J92" s="318">
        <f>IF(L92,I92,0)</f>
        <v>15.5</v>
      </c>
      <c r="L92" s="159" t="b">
        <v>1</v>
      </c>
    </row>
    <row r="93" spans="1:12" ht="58.5" customHeight="1">
      <c r="B93" s="209"/>
      <c r="C93" s="217"/>
      <c r="D93" s="510"/>
      <c r="E93" s="948" t="s">
        <v>467</v>
      </c>
      <c r="F93" s="948"/>
      <c r="G93" s="948"/>
      <c r="H93" s="276"/>
      <c r="I93" s="506"/>
      <c r="J93" s="164"/>
    </row>
    <row r="94" spans="1:12" ht="27" customHeight="1">
      <c r="A94" s="188"/>
      <c r="B94" s="213"/>
      <c r="C94" s="216"/>
      <c r="D94" s="510"/>
      <c r="E94" s="985" t="s">
        <v>468</v>
      </c>
      <c r="F94" s="985"/>
      <c r="G94" s="985"/>
      <c r="H94" s="985"/>
      <c r="I94" s="508"/>
      <c r="J94" s="164"/>
    </row>
    <row r="95" spans="1:12" ht="39.75" customHeight="1">
      <c r="A95" s="188"/>
      <c r="B95" s="213"/>
      <c r="C95" s="216"/>
      <c r="D95" s="511"/>
      <c r="E95" s="944" t="s">
        <v>469</v>
      </c>
      <c r="F95" s="945"/>
      <c r="G95" s="945"/>
      <c r="H95" s="946"/>
      <c r="I95" s="508"/>
      <c r="J95" s="164"/>
    </row>
    <row r="96" spans="1:12" ht="15" customHeight="1">
      <c r="A96" s="188"/>
      <c r="B96" s="213"/>
      <c r="C96" s="189"/>
      <c r="D96" s="513"/>
      <c r="E96" s="810" t="s">
        <v>137</v>
      </c>
      <c r="F96" s="944" t="s">
        <v>470</v>
      </c>
      <c r="G96" s="944"/>
      <c r="H96" s="947"/>
      <c r="I96" s="515"/>
      <c r="J96" s="218"/>
    </row>
    <row r="97" spans="1:12" ht="40.5" customHeight="1">
      <c r="A97" s="188"/>
      <c r="B97" s="213"/>
      <c r="C97" s="189"/>
      <c r="D97" s="513"/>
      <c r="E97" s="810" t="s">
        <v>137</v>
      </c>
      <c r="F97" s="944" t="s">
        <v>471</v>
      </c>
      <c r="G97" s="944"/>
      <c r="H97" s="947"/>
      <c r="I97" s="515"/>
      <c r="J97" s="218"/>
    </row>
    <row r="98" spans="1:12" ht="15.5">
      <c r="A98" s="188"/>
      <c r="B98" s="213"/>
      <c r="C98" s="189"/>
      <c r="D98" s="513"/>
      <c r="E98" s="810" t="s">
        <v>137</v>
      </c>
      <c r="F98" s="944" t="s">
        <v>472</v>
      </c>
      <c r="G98" s="944"/>
      <c r="H98" s="947"/>
      <c r="I98" s="515"/>
      <c r="J98" s="218"/>
    </row>
    <row r="99" spans="1:12" ht="40.5" customHeight="1">
      <c r="A99" s="188"/>
      <c r="B99" s="213"/>
      <c r="C99" s="189"/>
      <c r="D99" s="513"/>
      <c r="E99" s="810" t="s">
        <v>137</v>
      </c>
      <c r="F99" s="944" t="s">
        <v>473</v>
      </c>
      <c r="G99" s="944"/>
      <c r="H99" s="947"/>
      <c r="I99" s="515"/>
      <c r="J99" s="218"/>
    </row>
    <row r="100" spans="1:12" ht="15" customHeight="1">
      <c r="A100" s="188"/>
      <c r="B100" s="213"/>
      <c r="C100" s="189"/>
      <c r="D100" s="513"/>
      <c r="E100" s="810" t="s">
        <v>137</v>
      </c>
      <c r="F100" s="944" t="s">
        <v>474</v>
      </c>
      <c r="G100" s="944"/>
      <c r="H100" s="947"/>
      <c r="I100" s="515"/>
      <c r="J100" s="218"/>
    </row>
    <row r="101" spans="1:12" ht="27" customHeight="1">
      <c r="A101" s="188"/>
      <c r="B101" s="214"/>
      <c r="C101" s="319"/>
      <c r="D101" s="512"/>
      <c r="E101" s="953" t="s">
        <v>475</v>
      </c>
      <c r="F101" s="955"/>
      <c r="G101" s="955"/>
      <c r="H101" s="956"/>
      <c r="I101" s="509"/>
      <c r="J101" s="317"/>
    </row>
    <row r="102" spans="1:12" ht="17.5">
      <c r="B102" s="163"/>
      <c r="C102" s="780" t="s">
        <v>159</v>
      </c>
      <c r="D102" s="788"/>
      <c r="E102" s="951" t="s">
        <v>476</v>
      </c>
      <c r="F102" s="951"/>
      <c r="G102" s="951"/>
      <c r="H102" s="316"/>
      <c r="I102" s="507">
        <v>2.25</v>
      </c>
      <c r="J102" s="318">
        <f>IF(L102,I102,0)</f>
        <v>2.25</v>
      </c>
      <c r="L102" s="159" t="b">
        <v>1</v>
      </c>
    </row>
    <row r="103" spans="1:12" ht="40.5" customHeight="1">
      <c r="B103" s="209"/>
      <c r="C103" s="217"/>
      <c r="D103" s="517"/>
      <c r="E103" s="948" t="s">
        <v>477</v>
      </c>
      <c r="F103" s="948"/>
      <c r="G103" s="948"/>
      <c r="H103" s="276"/>
      <c r="I103" s="506"/>
      <c r="J103" s="164"/>
    </row>
    <row r="104" spans="1:12" ht="27" customHeight="1">
      <c r="A104" s="188"/>
      <c r="B104" s="213"/>
      <c r="C104" s="216"/>
      <c r="D104" s="510"/>
      <c r="E104" s="985" t="s">
        <v>478</v>
      </c>
      <c r="F104" s="985"/>
      <c r="G104" s="985"/>
      <c r="H104" s="985"/>
      <c r="I104" s="508"/>
      <c r="J104" s="164"/>
    </row>
    <row r="105" spans="1:12" ht="27" customHeight="1">
      <c r="A105" s="188"/>
      <c r="B105" s="214"/>
      <c r="C105" s="319"/>
      <c r="D105" s="512"/>
      <c r="E105" s="953" t="s">
        <v>642</v>
      </c>
      <c r="F105" s="955"/>
      <c r="G105" s="955"/>
      <c r="H105" s="955"/>
      <c r="I105" s="509"/>
      <c r="J105" s="317"/>
    </row>
    <row r="106" spans="1:12" ht="17.5">
      <c r="B106" s="163"/>
      <c r="C106" s="785" t="s">
        <v>160</v>
      </c>
      <c r="D106" s="786"/>
      <c r="E106" s="951" t="s">
        <v>480</v>
      </c>
      <c r="F106" s="951"/>
      <c r="G106" s="951"/>
      <c r="H106" s="275"/>
      <c r="I106" s="516">
        <v>2.25</v>
      </c>
      <c r="J106" s="322">
        <f>IF(L106,I106,0)</f>
        <v>2.25</v>
      </c>
      <c r="L106" s="159" t="b">
        <v>1</v>
      </c>
    </row>
    <row r="107" spans="1:12" ht="40" customHeight="1">
      <c r="B107" s="209"/>
      <c r="C107" s="217"/>
      <c r="D107" s="510"/>
      <c r="E107" s="948" t="s">
        <v>481</v>
      </c>
      <c r="F107" s="948"/>
      <c r="G107" s="948"/>
      <c r="H107" s="276"/>
      <c r="I107" s="506"/>
      <c r="J107" s="164"/>
    </row>
    <row r="108" spans="1:12" ht="27" customHeight="1">
      <c r="A108" s="188"/>
      <c r="B108" s="213"/>
      <c r="C108" s="216"/>
      <c r="D108" s="510"/>
      <c r="E108" s="985" t="s">
        <v>482</v>
      </c>
      <c r="F108" s="985"/>
      <c r="G108" s="985"/>
      <c r="H108" s="985"/>
      <c r="I108" s="508"/>
      <c r="J108" s="164"/>
    </row>
    <row r="109" spans="1:12" ht="40.5" customHeight="1">
      <c r="A109" s="188"/>
      <c r="B109" s="213"/>
      <c r="C109" s="216"/>
      <c r="D109" s="512"/>
      <c r="E109" s="953" t="s">
        <v>479</v>
      </c>
      <c r="F109" s="955"/>
      <c r="G109" s="955"/>
      <c r="H109" s="955"/>
      <c r="I109" s="509"/>
      <c r="J109" s="317"/>
    </row>
    <row r="110" spans="1:12" ht="17.5">
      <c r="B110" s="163"/>
      <c r="C110" s="780" t="s">
        <v>161</v>
      </c>
      <c r="D110" s="782"/>
      <c r="E110" s="951" t="s">
        <v>483</v>
      </c>
      <c r="F110" s="951"/>
      <c r="G110" s="951"/>
      <c r="H110" s="316"/>
      <c r="I110" s="507">
        <v>1.5</v>
      </c>
      <c r="J110" s="318">
        <f>IF(L110,I110,0)</f>
        <v>1.5</v>
      </c>
      <c r="L110" s="159" t="b">
        <v>1</v>
      </c>
    </row>
    <row r="111" spans="1:12" ht="16.5">
      <c r="B111" s="209"/>
      <c r="C111" s="217"/>
      <c r="D111" s="510"/>
      <c r="E111" s="948"/>
      <c r="F111" s="948"/>
      <c r="G111" s="948"/>
      <c r="H111" s="276"/>
      <c r="I111" s="506"/>
      <c r="J111" s="164"/>
    </row>
    <row r="112" spans="1:12" ht="27" customHeight="1">
      <c r="A112" s="188"/>
      <c r="B112" s="214"/>
      <c r="C112" s="319"/>
      <c r="D112" s="512"/>
      <c r="E112" s="953" t="s">
        <v>484</v>
      </c>
      <c r="F112" s="955"/>
      <c r="G112" s="955"/>
      <c r="H112" s="956"/>
      <c r="I112" s="509"/>
      <c r="J112" s="317"/>
    </row>
    <row r="113" spans="1:12" ht="17.5">
      <c r="B113" s="163"/>
      <c r="C113" s="780" t="s">
        <v>162</v>
      </c>
      <c r="D113" s="788"/>
      <c r="E113" s="951" t="s">
        <v>485</v>
      </c>
      <c r="F113" s="951"/>
      <c r="G113" s="951"/>
      <c r="H113" s="316"/>
      <c r="I113" s="507">
        <v>3.75</v>
      </c>
      <c r="J113" s="318">
        <f>IF(L113,I113,0)</f>
        <v>3.75</v>
      </c>
      <c r="L113" s="159" t="b">
        <v>1</v>
      </c>
    </row>
    <row r="114" spans="1:12" ht="16.5">
      <c r="B114" s="209"/>
      <c r="C114" s="217"/>
      <c r="D114" s="517"/>
      <c r="E114" s="948" t="s">
        <v>463</v>
      </c>
      <c r="F114" s="948"/>
      <c r="G114" s="948"/>
      <c r="H114" s="276"/>
      <c r="I114" s="506"/>
      <c r="J114" s="164"/>
    </row>
    <row r="115" spans="1:12" ht="27" customHeight="1">
      <c r="A115" s="188"/>
      <c r="B115" s="213"/>
      <c r="C115" s="216"/>
      <c r="D115" s="510"/>
      <c r="E115" s="985" t="s">
        <v>486</v>
      </c>
      <c r="F115" s="985"/>
      <c r="G115" s="985"/>
      <c r="H115" s="985"/>
      <c r="I115" s="508"/>
      <c r="J115" s="164"/>
    </row>
    <row r="116" spans="1:12" ht="15.5">
      <c r="A116" s="188"/>
      <c r="B116" s="213"/>
      <c r="C116" s="216"/>
      <c r="D116" s="511"/>
      <c r="E116" s="944" t="s">
        <v>487</v>
      </c>
      <c r="F116" s="945"/>
      <c r="G116" s="945"/>
      <c r="H116" s="945"/>
      <c r="I116" s="508"/>
      <c r="J116" s="164"/>
    </row>
    <row r="117" spans="1:12" ht="51" customHeight="1">
      <c r="A117" s="188"/>
      <c r="B117" s="213"/>
      <c r="C117" s="216"/>
      <c r="D117" s="511"/>
      <c r="E117" s="944" t="s">
        <v>488</v>
      </c>
      <c r="F117" s="945"/>
      <c r="G117" s="945"/>
      <c r="H117" s="945"/>
      <c r="I117" s="508"/>
      <c r="J117" s="164"/>
    </row>
    <row r="118" spans="1:12" ht="27" customHeight="1">
      <c r="A118" s="188"/>
      <c r="B118" s="214"/>
      <c r="C118" s="319"/>
      <c r="D118" s="512"/>
      <c r="E118" s="953" t="s">
        <v>489</v>
      </c>
      <c r="F118" s="955"/>
      <c r="G118" s="955"/>
      <c r="H118" s="955"/>
      <c r="I118" s="509"/>
      <c r="J118" s="317"/>
    </row>
    <row r="119" spans="1:12" ht="17.5">
      <c r="B119" s="163"/>
      <c r="C119" s="785" t="s">
        <v>163</v>
      </c>
      <c r="D119" s="786"/>
      <c r="E119" s="951" t="s">
        <v>490</v>
      </c>
      <c r="F119" s="951"/>
      <c r="G119" s="951"/>
      <c r="H119" s="275"/>
      <c r="I119" s="516">
        <v>3</v>
      </c>
      <c r="J119" s="322">
        <f>IF(L119,I119,0)</f>
        <v>3</v>
      </c>
      <c r="L119" s="159" t="b">
        <v>1</v>
      </c>
    </row>
    <row r="120" spans="1:12" ht="16.5" customHeight="1">
      <c r="B120" s="209"/>
      <c r="C120" s="217"/>
      <c r="D120" s="510"/>
      <c r="E120" s="948" t="s">
        <v>491</v>
      </c>
      <c r="F120" s="948"/>
      <c r="G120" s="948"/>
      <c r="H120" s="276"/>
      <c r="I120" s="506"/>
      <c r="J120" s="164"/>
    </row>
    <row r="121" spans="1:12" ht="15.5">
      <c r="A121" s="188"/>
      <c r="B121" s="213"/>
      <c r="C121" s="216"/>
      <c r="D121" s="512"/>
      <c r="E121" s="953" t="s">
        <v>492</v>
      </c>
      <c r="F121" s="955"/>
      <c r="G121" s="955"/>
      <c r="H121" s="955"/>
      <c r="I121" s="509"/>
      <c r="J121" s="317"/>
    </row>
    <row r="122" spans="1:12" ht="17.5">
      <c r="B122" s="163"/>
      <c r="C122" s="780" t="s">
        <v>164</v>
      </c>
      <c r="D122" s="786"/>
      <c r="E122" s="951" t="s">
        <v>493</v>
      </c>
      <c r="F122" s="951"/>
      <c r="G122" s="951"/>
      <c r="H122" s="275"/>
      <c r="I122" s="516">
        <v>0.5</v>
      </c>
      <c r="J122" s="322">
        <f>IF(L122,I122,0)</f>
        <v>0.5</v>
      </c>
      <c r="L122" s="159" t="b">
        <v>1</v>
      </c>
    </row>
    <row r="123" spans="1:12" ht="16.5" customHeight="1">
      <c r="B123" s="209"/>
      <c r="C123" s="217"/>
      <c r="D123" s="510"/>
      <c r="E123" s="948"/>
      <c r="F123" s="948"/>
      <c r="G123" s="948"/>
      <c r="H123" s="276"/>
      <c r="I123" s="506"/>
      <c r="J123" s="164"/>
    </row>
    <row r="124" spans="1:12" ht="27" customHeight="1" thickBot="1">
      <c r="A124" s="188"/>
      <c r="B124" s="213"/>
      <c r="C124" s="216"/>
      <c r="D124" s="511"/>
      <c r="E124" s="778"/>
      <c r="F124" s="599"/>
      <c r="G124" s="778"/>
      <c r="H124" s="740"/>
      <c r="I124" s="508"/>
      <c r="J124" s="164"/>
    </row>
    <row r="125" spans="1:12" ht="22.75" customHeight="1" thickBot="1">
      <c r="B125" s="941" t="s">
        <v>450</v>
      </c>
      <c r="C125" s="942"/>
      <c r="D125" s="942"/>
      <c r="E125" s="942"/>
      <c r="F125" s="942"/>
      <c r="G125" s="942"/>
      <c r="H125" s="942"/>
      <c r="I125" s="384">
        <f>IF(Projektgrundlagen!$I$27,SUM(I77:I124),0)</f>
        <v>50</v>
      </c>
      <c r="J125" s="385">
        <f>IF(Projektgrundlagen!$I$27,SUMIF(L77:L124,TRUE,J77:J124),0)</f>
        <v>50</v>
      </c>
    </row>
    <row r="126" spans="1:12" ht="7.5" customHeight="1"/>
    <row r="127" spans="1:12" ht="22.75" customHeight="1">
      <c r="B127" s="387" t="s">
        <v>494</v>
      </c>
      <c r="C127" s="388"/>
      <c r="D127" s="388"/>
      <c r="E127" s="388"/>
      <c r="F127" s="388"/>
      <c r="G127" s="394"/>
      <c r="H127" s="394"/>
      <c r="I127" s="392"/>
      <c r="J127" s="393"/>
    </row>
    <row r="128" spans="1:12" ht="17.5">
      <c r="B128" s="163"/>
      <c r="C128" s="780" t="s">
        <v>155</v>
      </c>
      <c r="D128" s="789"/>
      <c r="E128" s="949" t="s">
        <v>496</v>
      </c>
      <c r="F128" s="949"/>
      <c r="G128" s="949"/>
      <c r="H128" s="316"/>
      <c r="I128" s="505">
        <v>10</v>
      </c>
      <c r="J128" s="318">
        <f>IF(L128,I128,0)</f>
        <v>10</v>
      </c>
      <c r="L128" s="159" t="b">
        <v>1</v>
      </c>
    </row>
    <row r="129" spans="1:10" ht="16.5">
      <c r="B129" s="209"/>
      <c r="C129" s="217"/>
      <c r="D129" s="517"/>
      <c r="E129" s="948" t="s">
        <v>643</v>
      </c>
      <c r="F129" s="948"/>
      <c r="G129" s="948"/>
      <c r="H129" s="276"/>
      <c r="I129" s="506"/>
      <c r="J129" s="164"/>
    </row>
    <row r="130" spans="1:10" ht="27.75" customHeight="1">
      <c r="A130" s="188"/>
      <c r="B130" s="213"/>
      <c r="C130" s="216"/>
      <c r="D130" s="511"/>
      <c r="E130" s="944" t="s">
        <v>647</v>
      </c>
      <c r="F130" s="945"/>
      <c r="G130" s="945"/>
      <c r="H130" s="946"/>
      <c r="I130" s="508"/>
      <c r="J130" s="164"/>
    </row>
    <row r="131" spans="1:10" ht="15.5">
      <c r="A131" s="188"/>
      <c r="B131" s="213"/>
      <c r="C131" s="216"/>
      <c r="D131" s="511"/>
      <c r="E131" s="944" t="s">
        <v>648</v>
      </c>
      <c r="F131" s="945"/>
      <c r="G131" s="945"/>
      <c r="H131" s="946"/>
      <c r="I131" s="508"/>
      <c r="J131" s="164"/>
    </row>
    <row r="132" spans="1:10" ht="15.5">
      <c r="A132" s="188"/>
      <c r="B132" s="213"/>
      <c r="C132" s="216"/>
      <c r="D132" s="511"/>
      <c r="E132" s="944" t="s">
        <v>500</v>
      </c>
      <c r="F132" s="945"/>
      <c r="G132" s="945"/>
      <c r="H132" s="946"/>
      <c r="I132" s="508"/>
      <c r="J132" s="164"/>
    </row>
    <row r="133" spans="1:10" ht="15.5">
      <c r="A133" s="188"/>
      <c r="B133" s="213"/>
      <c r="C133" s="189"/>
      <c r="D133" s="513"/>
      <c r="E133" s="810" t="s">
        <v>137</v>
      </c>
      <c r="F133" s="944" t="s">
        <v>501</v>
      </c>
      <c r="G133" s="944"/>
      <c r="H133" s="947"/>
      <c r="I133" s="515"/>
      <c r="J133" s="218"/>
    </row>
    <row r="134" spans="1:10" ht="15.5">
      <c r="A134" s="188"/>
      <c r="B134" s="213"/>
      <c r="C134" s="189"/>
      <c r="D134" s="513"/>
      <c r="E134" s="810" t="s">
        <v>137</v>
      </c>
      <c r="F134" s="944" t="s">
        <v>502</v>
      </c>
      <c r="G134" s="944"/>
      <c r="H134" s="947"/>
      <c r="I134" s="515"/>
      <c r="J134" s="218"/>
    </row>
    <row r="135" spans="1:10" ht="15.5">
      <c r="A135" s="188"/>
      <c r="B135" s="213"/>
      <c r="C135" s="189"/>
      <c r="D135" s="513"/>
      <c r="E135" s="810" t="s">
        <v>137</v>
      </c>
      <c r="F135" s="944" t="s">
        <v>503</v>
      </c>
      <c r="G135" s="944"/>
      <c r="H135" s="947"/>
      <c r="I135" s="515"/>
      <c r="J135" s="218"/>
    </row>
    <row r="136" spans="1:10" ht="27" customHeight="1">
      <c r="A136" s="188"/>
      <c r="B136" s="213"/>
      <c r="C136" s="189"/>
      <c r="D136" s="513"/>
      <c r="E136" s="810" t="s">
        <v>137</v>
      </c>
      <c r="F136" s="944" t="s">
        <v>504</v>
      </c>
      <c r="G136" s="944"/>
      <c r="H136" s="947"/>
      <c r="I136" s="515"/>
      <c r="J136" s="218"/>
    </row>
    <row r="137" spans="1:10" ht="24.75" customHeight="1">
      <c r="A137" s="188"/>
      <c r="B137" s="213"/>
      <c r="C137" s="189"/>
      <c r="D137" s="513"/>
      <c r="E137" s="810" t="s">
        <v>137</v>
      </c>
      <c r="F137" s="944" t="s">
        <v>505</v>
      </c>
      <c r="G137" s="944"/>
      <c r="H137" s="947"/>
      <c r="I137" s="515"/>
      <c r="J137" s="218"/>
    </row>
    <row r="138" spans="1:10" ht="15" customHeight="1">
      <c r="A138" s="188"/>
      <c r="B138" s="213"/>
      <c r="C138" s="189"/>
      <c r="D138" s="513"/>
      <c r="E138" s="810" t="s">
        <v>137</v>
      </c>
      <c r="F138" s="944" t="s">
        <v>506</v>
      </c>
      <c r="G138" s="944"/>
      <c r="H138" s="947"/>
      <c r="I138" s="515"/>
      <c r="J138" s="218"/>
    </row>
    <row r="139" spans="1:10" ht="27" customHeight="1" thickBot="1">
      <c r="A139" s="188"/>
      <c r="B139" s="214"/>
      <c r="C139" s="319"/>
      <c r="D139" s="512"/>
      <c r="E139" s="953" t="s">
        <v>507</v>
      </c>
      <c r="F139" s="955"/>
      <c r="G139" s="955"/>
      <c r="H139" s="955"/>
      <c r="I139" s="509"/>
      <c r="J139" s="317"/>
    </row>
    <row r="140" spans="1:10" ht="22.75" customHeight="1" thickBot="1">
      <c r="B140" s="941" t="s">
        <v>495</v>
      </c>
      <c r="C140" s="942"/>
      <c r="D140" s="942"/>
      <c r="E140" s="942"/>
      <c r="F140" s="942"/>
      <c r="G140" s="942"/>
      <c r="H140" s="943"/>
      <c r="I140" s="386">
        <f>IF(Projektgrundlagen!$I$27,SUM(I128:I139),0)</f>
        <v>10</v>
      </c>
      <c r="J140" s="385">
        <f>IF(Projektgrundlagen!$I$27,SUMIF(L128:L139,TRUE,J128:J139),0)</f>
        <v>10</v>
      </c>
    </row>
    <row r="141" spans="1:10" ht="17" thickBot="1">
      <c r="B141" s="158"/>
    </row>
    <row r="142" spans="1:10" ht="30" customHeight="1" thickBot="1">
      <c r="B142" s="957" t="s">
        <v>511</v>
      </c>
      <c r="C142" s="958"/>
      <c r="D142" s="958"/>
      <c r="E142" s="958"/>
      <c r="F142" s="958"/>
      <c r="G142" s="958"/>
      <c r="H142" s="959"/>
      <c r="I142" s="503">
        <f>SUM(I46,I74,I125,I140)</f>
        <v>100</v>
      </c>
      <c r="J142" s="504">
        <f>SUM(J46,J74,J125,J140)</f>
        <v>89</v>
      </c>
    </row>
    <row r="143" spans="1:10" ht="12.75" customHeight="1"/>
    <row r="144" spans="1:10" ht="16.5"/>
    <row r="145" spans="2:15" ht="12.75" customHeight="1">
      <c r="F145" s="277"/>
      <c r="G145" s="277"/>
      <c r="H145" s="277"/>
      <c r="I145" s="277"/>
    </row>
    <row r="146" spans="2:15" ht="16.5"/>
    <row r="147" spans="2:15" ht="16.5" hidden="1"/>
    <row r="148" spans="2:15" ht="16.5" hidden="1"/>
    <row r="149" spans="2:15" ht="16.5" hidden="1"/>
    <row r="150" spans="2:15" ht="16.5" hidden="1"/>
    <row r="151" spans="2:15" ht="16.5" hidden="1"/>
    <row r="152" spans="2:15" ht="16.5" hidden="1"/>
    <row r="153" spans="2:15" ht="16.5" hidden="1"/>
    <row r="154" spans="2:15" ht="16.5" hidden="1"/>
    <row r="155" spans="2:15" ht="16.5" hidden="1"/>
    <row r="156" spans="2:15" ht="16.5" hidden="1"/>
    <row r="157" spans="2:15" ht="16.5" hidden="1"/>
    <row r="158" spans="2:15" ht="16.5" hidden="1"/>
    <row r="159" spans="2:15" ht="16.5" hidden="1"/>
    <row r="160" spans="2:15" s="379" customFormat="1" ht="16.5" hidden="1">
      <c r="B160" s="165"/>
      <c r="C160" s="158"/>
      <c r="D160" s="158"/>
      <c r="E160" s="158"/>
      <c r="F160" s="158"/>
      <c r="G160" s="158"/>
      <c r="H160" s="158"/>
      <c r="I160" s="158"/>
      <c r="J160" s="158"/>
      <c r="K160" s="158"/>
      <c r="L160" s="159"/>
      <c r="M160" s="158"/>
      <c r="N160" s="158"/>
      <c r="O160" s="158"/>
    </row>
    <row r="161" spans="2:15" s="379" customFormat="1" ht="16.5" hidden="1">
      <c r="B161" s="165"/>
      <c r="C161" s="158"/>
      <c r="D161" s="158"/>
      <c r="E161" s="158"/>
      <c r="F161" s="158"/>
      <c r="G161" s="158"/>
      <c r="H161" s="158"/>
      <c r="I161" s="158"/>
      <c r="J161" s="158"/>
      <c r="K161" s="158"/>
      <c r="L161" s="159"/>
      <c r="M161" s="158"/>
      <c r="N161" s="158"/>
      <c r="O161" s="158"/>
    </row>
    <row r="162" spans="2:15" s="379" customFormat="1" ht="16.5" hidden="1">
      <c r="B162" s="165"/>
      <c r="C162" s="158"/>
      <c r="D162" s="158"/>
      <c r="E162" s="158"/>
      <c r="F162" s="158"/>
      <c r="G162" s="158"/>
      <c r="H162" s="158"/>
      <c r="I162" s="158"/>
      <c r="J162" s="158"/>
      <c r="K162" s="158"/>
      <c r="L162" s="159"/>
      <c r="M162" s="158"/>
      <c r="N162" s="158"/>
      <c r="O162" s="158"/>
    </row>
    <row r="163" spans="2:15" s="379" customFormat="1" ht="16.5" hidden="1">
      <c r="B163" s="165"/>
      <c r="C163" s="158"/>
      <c r="D163" s="158"/>
      <c r="E163" s="158"/>
      <c r="F163" s="158"/>
      <c r="G163" s="158"/>
      <c r="H163" s="158"/>
      <c r="I163" s="158"/>
      <c r="J163" s="158"/>
      <c r="K163" s="158"/>
      <c r="L163" s="159"/>
      <c r="M163" s="158"/>
      <c r="N163" s="158"/>
      <c r="O163" s="158"/>
    </row>
    <row r="164" spans="2:15" s="379" customFormat="1" ht="16.5" hidden="1">
      <c r="B164" s="165"/>
      <c r="C164" s="158"/>
      <c r="D164" s="158"/>
      <c r="E164" s="158"/>
      <c r="F164" s="158"/>
      <c r="G164" s="158"/>
      <c r="H164" s="158"/>
      <c r="I164" s="158"/>
      <c r="J164" s="158"/>
      <c r="K164" s="158"/>
      <c r="L164" s="159"/>
      <c r="M164" s="158"/>
      <c r="N164" s="158"/>
      <c r="O164" s="158"/>
    </row>
    <row r="165" spans="2:15" s="379" customFormat="1" ht="16.5" hidden="1">
      <c r="B165" s="165"/>
      <c r="C165" s="158"/>
      <c r="D165" s="158"/>
      <c r="E165" s="158"/>
      <c r="F165" s="158"/>
      <c r="G165" s="158"/>
      <c r="H165" s="158"/>
      <c r="I165" s="158"/>
      <c r="J165" s="158"/>
      <c r="K165" s="158"/>
      <c r="L165" s="159"/>
      <c r="M165" s="158"/>
      <c r="N165" s="158"/>
      <c r="O165" s="158"/>
    </row>
    <row r="166" spans="2:15" s="379" customFormat="1" ht="16.5" hidden="1">
      <c r="B166" s="165"/>
      <c r="C166" s="158"/>
      <c r="D166" s="158"/>
      <c r="E166" s="158"/>
      <c r="F166" s="158"/>
      <c r="G166" s="158"/>
      <c r="H166" s="158"/>
      <c r="I166" s="158"/>
      <c r="J166" s="158"/>
      <c r="K166" s="158"/>
      <c r="L166" s="159"/>
      <c r="M166" s="158"/>
      <c r="N166" s="158"/>
      <c r="O166" s="158"/>
    </row>
    <row r="167" spans="2:15" s="379" customFormat="1" ht="16.5" hidden="1">
      <c r="B167" s="165"/>
      <c r="C167" s="158"/>
      <c r="D167" s="158"/>
      <c r="E167" s="158"/>
      <c r="F167" s="158"/>
      <c r="G167" s="158"/>
      <c r="H167" s="158"/>
      <c r="I167" s="158"/>
      <c r="J167" s="158"/>
      <c r="K167" s="158"/>
      <c r="L167" s="159"/>
      <c r="M167" s="158"/>
      <c r="N167" s="158"/>
      <c r="O167" s="158"/>
    </row>
    <row r="168" spans="2:15" s="379" customFormat="1" ht="16.5" hidden="1">
      <c r="B168" s="165"/>
      <c r="C168" s="158"/>
      <c r="D168" s="158"/>
      <c r="E168" s="158"/>
      <c r="F168" s="158"/>
      <c r="G168" s="158"/>
      <c r="H168" s="158"/>
      <c r="I168" s="158"/>
      <c r="J168" s="158"/>
      <c r="K168" s="158"/>
      <c r="L168" s="159"/>
      <c r="M168" s="158"/>
      <c r="N168" s="158"/>
      <c r="O168" s="158"/>
    </row>
    <row r="169" spans="2:15" s="379" customFormat="1" ht="16.5" hidden="1">
      <c r="B169" s="165"/>
      <c r="C169" s="158"/>
      <c r="D169" s="158"/>
      <c r="E169" s="158"/>
      <c r="F169" s="158"/>
      <c r="G169" s="158"/>
      <c r="H169" s="158"/>
      <c r="I169" s="158"/>
      <c r="J169" s="158"/>
      <c r="K169" s="158"/>
      <c r="L169" s="159"/>
      <c r="M169" s="158"/>
      <c r="N169" s="158"/>
      <c r="O169" s="158"/>
    </row>
    <row r="170" spans="2:15" s="379" customFormat="1" ht="16.5" hidden="1">
      <c r="B170" s="165"/>
      <c r="C170" s="158"/>
      <c r="D170" s="158"/>
      <c r="E170" s="158"/>
      <c r="F170" s="158"/>
      <c r="G170" s="158"/>
      <c r="H170" s="158"/>
      <c r="I170" s="158"/>
      <c r="J170" s="158"/>
      <c r="K170" s="158"/>
      <c r="L170" s="159"/>
      <c r="M170" s="158"/>
      <c r="N170" s="158"/>
      <c r="O170" s="158"/>
    </row>
    <row r="171" spans="2:15" s="379" customFormat="1" ht="16.5" hidden="1">
      <c r="B171" s="165"/>
      <c r="C171" s="158"/>
      <c r="D171" s="158"/>
      <c r="E171" s="158"/>
      <c r="F171" s="158"/>
      <c r="G171" s="158"/>
      <c r="H171" s="158"/>
      <c r="I171" s="158"/>
      <c r="J171" s="158"/>
      <c r="K171" s="158"/>
      <c r="L171" s="159"/>
      <c r="M171" s="158"/>
      <c r="N171" s="158"/>
      <c r="O171" s="158"/>
    </row>
    <row r="172" spans="2:15" s="379" customFormat="1" ht="16.5" hidden="1">
      <c r="B172" s="165"/>
      <c r="C172" s="158"/>
      <c r="D172" s="158"/>
      <c r="E172" s="158"/>
      <c r="F172" s="158"/>
      <c r="G172" s="158"/>
      <c r="H172" s="158"/>
      <c r="I172" s="158"/>
      <c r="J172" s="158"/>
      <c r="K172" s="158"/>
      <c r="L172" s="159"/>
      <c r="M172" s="158"/>
      <c r="N172" s="158"/>
      <c r="O172" s="158"/>
    </row>
    <row r="173" spans="2:15" s="379" customFormat="1" ht="16.5" hidden="1">
      <c r="B173" s="165"/>
      <c r="C173" s="158"/>
      <c r="D173" s="158"/>
      <c r="E173" s="158"/>
      <c r="F173" s="158"/>
      <c r="G173" s="158"/>
      <c r="H173" s="158"/>
      <c r="I173" s="158"/>
      <c r="J173" s="158"/>
      <c r="K173" s="158"/>
      <c r="L173" s="159"/>
      <c r="M173" s="158"/>
      <c r="N173" s="158"/>
      <c r="O173" s="158"/>
    </row>
    <row r="174" spans="2:15" s="379" customFormat="1" ht="16.5" hidden="1">
      <c r="B174" s="165"/>
      <c r="C174" s="158"/>
      <c r="D174" s="158"/>
      <c r="E174" s="158"/>
      <c r="F174" s="158"/>
      <c r="G174" s="158"/>
      <c r="H174" s="158"/>
      <c r="I174" s="158"/>
      <c r="J174" s="158"/>
      <c r="K174" s="158"/>
      <c r="L174" s="159"/>
      <c r="M174" s="158"/>
      <c r="N174" s="158"/>
      <c r="O174" s="158"/>
    </row>
    <row r="175" spans="2:15" s="379" customFormat="1" ht="16.5" hidden="1">
      <c r="B175" s="165"/>
      <c r="C175" s="158"/>
      <c r="D175" s="158"/>
      <c r="E175" s="158"/>
      <c r="F175" s="158"/>
      <c r="G175" s="158"/>
      <c r="H175" s="158"/>
      <c r="I175" s="158"/>
      <c r="J175" s="158"/>
      <c r="K175" s="158"/>
      <c r="L175" s="159"/>
      <c r="M175" s="158"/>
      <c r="N175" s="158"/>
      <c r="O175" s="158"/>
    </row>
    <row r="176" spans="2:15" s="379" customFormat="1" ht="16.5" hidden="1">
      <c r="B176" s="165"/>
      <c r="C176" s="158"/>
      <c r="D176" s="158"/>
      <c r="E176" s="158"/>
      <c r="F176" s="158"/>
      <c r="G176" s="158"/>
      <c r="H176" s="158"/>
      <c r="I176" s="158"/>
      <c r="J176" s="158"/>
      <c r="K176" s="158"/>
      <c r="L176" s="159"/>
      <c r="M176" s="158"/>
      <c r="N176" s="158"/>
      <c r="O176" s="158"/>
    </row>
    <row r="177" spans="2:15" s="379" customFormat="1" ht="16.5" hidden="1">
      <c r="B177" s="165"/>
      <c r="C177" s="158"/>
      <c r="D177" s="158"/>
      <c r="E177" s="158"/>
      <c r="F177" s="158"/>
      <c r="G177" s="158"/>
      <c r="H177" s="158"/>
      <c r="I177" s="158"/>
      <c r="J177" s="158"/>
      <c r="K177" s="158"/>
      <c r="L177" s="159"/>
      <c r="M177" s="158"/>
      <c r="N177" s="158"/>
      <c r="O177" s="158"/>
    </row>
    <row r="178" spans="2:15" s="379" customFormat="1" ht="16.5" hidden="1">
      <c r="B178" s="165"/>
      <c r="C178" s="158"/>
      <c r="D178" s="158"/>
      <c r="E178" s="158"/>
      <c r="F178" s="158"/>
      <c r="G178" s="158"/>
      <c r="H178" s="158"/>
      <c r="I178" s="158"/>
      <c r="J178" s="158"/>
      <c r="K178" s="158"/>
      <c r="L178" s="159"/>
      <c r="M178" s="158"/>
      <c r="N178" s="158"/>
      <c r="O178" s="158"/>
    </row>
    <row r="179" spans="2:15" s="379" customFormat="1" ht="16.5" hidden="1">
      <c r="B179" s="165"/>
      <c r="C179" s="158"/>
      <c r="D179" s="158"/>
      <c r="E179" s="158"/>
      <c r="F179" s="158"/>
      <c r="G179" s="158"/>
      <c r="H179" s="158"/>
      <c r="I179" s="158"/>
      <c r="J179" s="158"/>
      <c r="K179" s="158"/>
      <c r="L179" s="159"/>
      <c r="M179" s="158"/>
      <c r="N179" s="158"/>
      <c r="O179" s="158"/>
    </row>
    <row r="180" spans="2:15" s="379" customFormat="1" ht="16.5" hidden="1">
      <c r="B180" s="165"/>
      <c r="C180" s="158"/>
      <c r="D180" s="158"/>
      <c r="E180" s="158"/>
      <c r="F180" s="158"/>
      <c r="G180" s="158"/>
      <c r="H180" s="158"/>
      <c r="I180" s="158"/>
      <c r="J180" s="158"/>
      <c r="K180" s="158"/>
      <c r="L180" s="159"/>
      <c r="M180" s="158"/>
      <c r="N180" s="158"/>
      <c r="O180" s="158"/>
    </row>
    <row r="181" spans="2:15" s="379" customFormat="1" ht="16.5" hidden="1">
      <c r="B181" s="165"/>
      <c r="C181" s="158"/>
      <c r="D181" s="158"/>
      <c r="E181" s="158"/>
      <c r="F181" s="158"/>
      <c r="G181" s="158"/>
      <c r="H181" s="158"/>
      <c r="I181" s="158"/>
      <c r="J181" s="158"/>
      <c r="K181" s="158"/>
      <c r="L181" s="159"/>
      <c r="M181" s="158"/>
      <c r="N181" s="158"/>
      <c r="O181" s="158"/>
    </row>
    <row r="182" spans="2:15" s="379" customFormat="1" ht="16.5" hidden="1">
      <c r="B182" s="165"/>
      <c r="C182" s="158"/>
      <c r="D182" s="158"/>
      <c r="E182" s="158"/>
      <c r="F182" s="158"/>
      <c r="G182" s="158"/>
      <c r="H182" s="158"/>
      <c r="I182" s="158"/>
      <c r="J182" s="158"/>
      <c r="K182" s="158"/>
      <c r="L182" s="159"/>
      <c r="M182" s="158"/>
      <c r="N182" s="158"/>
      <c r="O182" s="158"/>
    </row>
    <row r="183" spans="2:15" s="379" customFormat="1" ht="16.5" hidden="1">
      <c r="B183" s="165"/>
      <c r="C183" s="158"/>
      <c r="D183" s="158"/>
      <c r="E183" s="158"/>
      <c r="F183" s="158"/>
      <c r="G183" s="158"/>
      <c r="H183" s="158"/>
      <c r="I183" s="158"/>
      <c r="J183" s="158"/>
      <c r="K183" s="158"/>
      <c r="L183" s="159"/>
      <c r="M183" s="158"/>
      <c r="N183" s="158"/>
      <c r="O183" s="158"/>
    </row>
    <row r="184" spans="2:15" s="379" customFormat="1" ht="16.5" hidden="1">
      <c r="B184" s="165"/>
      <c r="C184" s="158"/>
      <c r="D184" s="158"/>
      <c r="E184" s="158"/>
      <c r="F184" s="158"/>
      <c r="G184" s="158"/>
      <c r="H184" s="158"/>
      <c r="I184" s="158"/>
      <c r="J184" s="158"/>
      <c r="K184" s="158"/>
      <c r="L184" s="159"/>
      <c r="M184" s="158"/>
      <c r="N184" s="158"/>
      <c r="O184" s="158"/>
    </row>
    <row r="185" spans="2:15" s="379" customFormat="1" ht="16.5" hidden="1">
      <c r="B185" s="165"/>
      <c r="C185" s="158"/>
      <c r="D185" s="158"/>
      <c r="E185" s="158"/>
      <c r="F185" s="158"/>
      <c r="G185" s="158"/>
      <c r="H185" s="158"/>
      <c r="I185" s="158"/>
      <c r="J185" s="158"/>
      <c r="K185" s="158"/>
      <c r="L185" s="159"/>
      <c r="M185" s="158"/>
      <c r="N185" s="158"/>
      <c r="O185" s="158"/>
    </row>
    <row r="186" spans="2:15" s="379" customFormat="1" ht="16.5" hidden="1">
      <c r="B186" s="165"/>
      <c r="C186" s="158"/>
      <c r="D186" s="158"/>
      <c r="E186" s="158"/>
      <c r="F186" s="158"/>
      <c r="G186" s="158"/>
      <c r="H186" s="158"/>
      <c r="I186" s="158"/>
      <c r="J186" s="158"/>
      <c r="K186" s="158"/>
      <c r="L186" s="159"/>
      <c r="M186" s="158"/>
      <c r="N186" s="158"/>
      <c r="O186" s="158"/>
    </row>
    <row r="187" spans="2:15" s="379" customFormat="1" ht="16.5" hidden="1">
      <c r="B187" s="165"/>
      <c r="C187" s="158"/>
      <c r="D187" s="158"/>
      <c r="E187" s="158"/>
      <c r="F187" s="158"/>
      <c r="G187" s="158"/>
      <c r="H187" s="158"/>
      <c r="I187" s="158"/>
      <c r="J187" s="158"/>
      <c r="K187" s="158"/>
      <c r="L187" s="159"/>
      <c r="M187" s="158"/>
      <c r="N187" s="158"/>
      <c r="O187" s="158"/>
    </row>
    <row r="188" spans="2:15" s="379" customFormat="1" ht="16.5" hidden="1">
      <c r="B188" s="165"/>
      <c r="C188" s="158"/>
      <c r="D188" s="158"/>
      <c r="E188" s="158"/>
      <c r="F188" s="158"/>
      <c r="G188" s="158"/>
      <c r="H188" s="158"/>
      <c r="I188" s="158"/>
      <c r="J188" s="158"/>
      <c r="K188" s="158"/>
      <c r="L188" s="159"/>
      <c r="M188" s="158"/>
      <c r="N188" s="158"/>
      <c r="O188" s="158"/>
    </row>
    <row r="189" spans="2:15" s="379" customFormat="1" ht="16.5" hidden="1">
      <c r="B189" s="165"/>
      <c r="C189" s="158"/>
      <c r="D189" s="158"/>
      <c r="E189" s="158"/>
      <c r="F189" s="158"/>
      <c r="G189" s="158"/>
      <c r="H189" s="158"/>
      <c r="I189" s="158"/>
      <c r="J189" s="158"/>
      <c r="K189" s="158"/>
      <c r="L189" s="159"/>
      <c r="M189" s="158"/>
      <c r="N189" s="158"/>
      <c r="O189" s="158"/>
    </row>
    <row r="190" spans="2:15" s="379" customFormat="1" ht="16.5" hidden="1">
      <c r="B190" s="165"/>
      <c r="C190" s="158"/>
      <c r="D190" s="158"/>
      <c r="E190" s="158"/>
      <c r="F190" s="158"/>
      <c r="G190" s="158"/>
      <c r="H190" s="158"/>
      <c r="I190" s="158"/>
      <c r="J190" s="158"/>
      <c r="K190" s="158"/>
      <c r="L190" s="159"/>
      <c r="M190" s="158"/>
      <c r="N190" s="158"/>
      <c r="O190" s="158"/>
    </row>
    <row r="191" spans="2:15" s="379" customFormat="1" ht="16.5" hidden="1">
      <c r="B191" s="165"/>
      <c r="C191" s="158"/>
      <c r="D191" s="158"/>
      <c r="E191" s="158"/>
      <c r="F191" s="158"/>
      <c r="G191" s="158"/>
      <c r="H191" s="158"/>
      <c r="I191" s="158"/>
      <c r="J191" s="158"/>
      <c r="K191" s="158"/>
      <c r="L191" s="159"/>
      <c r="M191" s="158"/>
      <c r="N191" s="158"/>
      <c r="O191" s="158"/>
    </row>
    <row r="192" spans="2:15" s="379" customFormat="1" ht="16.5" hidden="1">
      <c r="B192" s="165"/>
      <c r="C192" s="158"/>
      <c r="D192" s="158"/>
      <c r="E192" s="158"/>
      <c r="F192" s="158"/>
      <c r="G192" s="158"/>
      <c r="H192" s="158"/>
      <c r="I192" s="158"/>
      <c r="J192" s="158"/>
      <c r="K192" s="158"/>
      <c r="L192" s="159"/>
      <c r="M192" s="158"/>
      <c r="N192" s="158"/>
      <c r="O192" s="158"/>
    </row>
    <row r="193" spans="2:15" s="379" customFormat="1" ht="16.5" hidden="1">
      <c r="B193" s="165"/>
      <c r="C193" s="158"/>
      <c r="D193" s="158"/>
      <c r="E193" s="158"/>
      <c r="F193" s="158"/>
      <c r="G193" s="158"/>
      <c r="H193" s="158"/>
      <c r="I193" s="158"/>
      <c r="J193" s="158"/>
      <c r="K193" s="158"/>
      <c r="L193" s="159"/>
      <c r="M193" s="158"/>
      <c r="N193" s="158"/>
      <c r="O193" s="158"/>
    </row>
    <row r="194" spans="2:15" s="379" customFormat="1" ht="16.5" hidden="1">
      <c r="B194" s="165"/>
      <c r="C194" s="158"/>
      <c r="D194" s="158"/>
      <c r="E194" s="158"/>
      <c r="F194" s="158"/>
      <c r="G194" s="158"/>
      <c r="H194" s="158"/>
      <c r="I194" s="158"/>
      <c r="J194" s="158"/>
      <c r="K194" s="158"/>
      <c r="L194" s="159"/>
      <c r="M194" s="158"/>
      <c r="N194" s="158"/>
      <c r="O194" s="158"/>
    </row>
    <row r="195" spans="2:15" s="379" customFormat="1" ht="16.5" hidden="1">
      <c r="B195" s="165"/>
      <c r="C195" s="158"/>
      <c r="D195" s="158"/>
      <c r="E195" s="158"/>
      <c r="F195" s="158"/>
      <c r="G195" s="158"/>
      <c r="H195" s="158"/>
      <c r="I195" s="158"/>
      <c r="J195" s="158"/>
      <c r="K195" s="158"/>
      <c r="L195" s="159"/>
      <c r="M195" s="158"/>
      <c r="N195" s="158"/>
      <c r="O195" s="158"/>
    </row>
    <row r="196" spans="2:15" s="379" customFormat="1" ht="16.5" hidden="1">
      <c r="B196" s="165"/>
      <c r="C196" s="158"/>
      <c r="D196" s="158"/>
      <c r="E196" s="158"/>
      <c r="F196" s="158"/>
      <c r="G196" s="158"/>
      <c r="H196" s="158"/>
      <c r="I196" s="158"/>
      <c r="J196" s="158"/>
      <c r="K196" s="158"/>
      <c r="L196" s="159"/>
      <c r="M196" s="158"/>
      <c r="N196" s="158"/>
      <c r="O196" s="158"/>
    </row>
    <row r="197" spans="2:15" s="379" customFormat="1" ht="16.5" hidden="1">
      <c r="B197" s="165"/>
      <c r="C197" s="158"/>
      <c r="D197" s="158"/>
      <c r="E197" s="158"/>
      <c r="F197" s="158"/>
      <c r="G197" s="158"/>
      <c r="H197" s="158"/>
      <c r="I197" s="158"/>
      <c r="J197" s="158"/>
      <c r="K197" s="158"/>
      <c r="L197" s="159"/>
      <c r="M197" s="158"/>
      <c r="N197" s="158"/>
      <c r="O197" s="158"/>
    </row>
    <row r="198" spans="2:15" s="379" customFormat="1" ht="16.5" hidden="1">
      <c r="B198" s="165"/>
      <c r="C198" s="158"/>
      <c r="D198" s="158"/>
      <c r="E198" s="158"/>
      <c r="F198" s="158"/>
      <c r="G198" s="158"/>
      <c r="H198" s="158"/>
      <c r="I198" s="158"/>
      <c r="J198" s="158"/>
      <c r="K198" s="158"/>
      <c r="L198" s="159"/>
      <c r="M198" s="158"/>
      <c r="N198" s="158"/>
      <c r="O198" s="158"/>
    </row>
    <row r="199" spans="2:15" s="379" customFormat="1" ht="16.5" hidden="1">
      <c r="B199" s="165"/>
      <c r="C199" s="158"/>
      <c r="D199" s="158"/>
      <c r="E199" s="158"/>
      <c r="F199" s="158"/>
      <c r="G199" s="158"/>
      <c r="H199" s="158"/>
      <c r="I199" s="158"/>
      <c r="J199" s="158"/>
      <c r="K199" s="158"/>
      <c r="L199" s="159"/>
      <c r="M199" s="158"/>
      <c r="N199" s="158"/>
      <c r="O199" s="158"/>
    </row>
    <row r="200" spans="2:15" s="379" customFormat="1" ht="16.5" hidden="1">
      <c r="B200" s="165"/>
      <c r="C200" s="158"/>
      <c r="D200" s="158"/>
      <c r="E200" s="158"/>
      <c r="F200" s="158"/>
      <c r="G200" s="158"/>
      <c r="H200" s="158"/>
      <c r="I200" s="158"/>
      <c r="J200" s="158"/>
      <c r="K200" s="158"/>
      <c r="L200" s="159"/>
      <c r="M200" s="158"/>
      <c r="N200" s="158"/>
      <c r="O200" s="158"/>
    </row>
    <row r="201" spans="2:15" s="379" customFormat="1" ht="16.5" hidden="1">
      <c r="B201" s="165"/>
      <c r="C201" s="158"/>
      <c r="D201" s="158"/>
      <c r="E201" s="158"/>
      <c r="F201" s="158"/>
      <c r="G201" s="158"/>
      <c r="H201" s="158"/>
      <c r="I201" s="158"/>
      <c r="J201" s="158"/>
      <c r="K201" s="158"/>
      <c r="L201" s="159"/>
      <c r="M201" s="158"/>
      <c r="N201" s="158"/>
      <c r="O201" s="158"/>
    </row>
    <row r="202" spans="2:15" s="379" customFormat="1" ht="16.5" hidden="1">
      <c r="B202" s="165"/>
      <c r="C202" s="158"/>
      <c r="D202" s="158"/>
      <c r="E202" s="158"/>
      <c r="F202" s="158"/>
      <c r="G202" s="158"/>
      <c r="H202" s="158"/>
      <c r="I202" s="158"/>
      <c r="J202" s="158"/>
      <c r="K202" s="158"/>
      <c r="L202" s="159"/>
      <c r="M202" s="158"/>
      <c r="N202" s="158"/>
      <c r="O202" s="158"/>
    </row>
    <row r="203" spans="2:15" s="379" customFormat="1" ht="16.5" hidden="1">
      <c r="B203" s="165"/>
      <c r="C203" s="158"/>
      <c r="D203" s="158"/>
      <c r="E203" s="158"/>
      <c r="F203" s="158"/>
      <c r="G203" s="158"/>
      <c r="H203" s="158"/>
      <c r="I203" s="158"/>
      <c r="J203" s="158"/>
      <c r="K203" s="158"/>
      <c r="L203" s="159"/>
      <c r="M203" s="158"/>
      <c r="N203" s="158"/>
      <c r="O203" s="158"/>
    </row>
    <row r="204" spans="2:15" s="379" customFormat="1" ht="16.5" hidden="1">
      <c r="B204" s="165"/>
      <c r="C204" s="158"/>
      <c r="D204" s="158"/>
      <c r="E204" s="158"/>
      <c r="F204" s="158"/>
      <c r="G204" s="158"/>
      <c r="H204" s="158"/>
      <c r="I204" s="158"/>
      <c r="J204" s="158"/>
      <c r="K204" s="158"/>
      <c r="L204" s="159"/>
      <c r="M204" s="158"/>
      <c r="N204" s="158"/>
      <c r="O204" s="158"/>
    </row>
    <row r="205" spans="2:15" s="379" customFormat="1" ht="16.5" hidden="1">
      <c r="B205" s="165"/>
      <c r="C205" s="158"/>
      <c r="D205" s="158"/>
      <c r="E205" s="158"/>
      <c r="F205" s="158"/>
      <c r="G205" s="158"/>
      <c r="H205" s="158"/>
      <c r="I205" s="158"/>
      <c r="J205" s="158"/>
      <c r="K205" s="158"/>
      <c r="L205" s="159"/>
      <c r="M205" s="158"/>
      <c r="N205" s="158"/>
      <c r="O205" s="158"/>
    </row>
    <row r="206" spans="2:15" s="379" customFormat="1" ht="16.5" hidden="1">
      <c r="B206" s="165"/>
      <c r="C206" s="158"/>
      <c r="D206" s="158"/>
      <c r="E206" s="158"/>
      <c r="F206" s="158"/>
      <c r="G206" s="158"/>
      <c r="H206" s="158"/>
      <c r="I206" s="158"/>
      <c r="J206" s="158"/>
      <c r="K206" s="158"/>
      <c r="L206" s="159"/>
      <c r="M206" s="158"/>
      <c r="N206" s="158"/>
      <c r="O206" s="158"/>
    </row>
    <row r="207" spans="2:15" s="379" customFormat="1" ht="16.5" hidden="1">
      <c r="B207" s="165"/>
      <c r="C207" s="158"/>
      <c r="D207" s="158"/>
      <c r="E207" s="158"/>
      <c r="F207" s="158"/>
      <c r="G207" s="158"/>
      <c r="H207" s="158"/>
      <c r="I207" s="158"/>
      <c r="J207" s="158"/>
      <c r="K207" s="158"/>
      <c r="L207" s="159"/>
      <c r="M207" s="158"/>
      <c r="N207" s="158"/>
      <c r="O207" s="158"/>
    </row>
    <row r="208" spans="2:15" s="379" customFormat="1" ht="16.5" hidden="1">
      <c r="B208" s="165"/>
      <c r="C208" s="158"/>
      <c r="D208" s="158"/>
      <c r="E208" s="158"/>
      <c r="F208" s="158"/>
      <c r="G208" s="158"/>
      <c r="H208" s="158"/>
      <c r="I208" s="158"/>
      <c r="J208" s="158"/>
      <c r="K208" s="158"/>
      <c r="L208" s="159"/>
      <c r="M208" s="158"/>
      <c r="N208" s="158"/>
      <c r="O208" s="158"/>
    </row>
    <row r="209" spans="2:15" s="379" customFormat="1" ht="16.5" hidden="1">
      <c r="B209" s="165"/>
      <c r="C209" s="158"/>
      <c r="D209" s="158"/>
      <c r="E209" s="158"/>
      <c r="F209" s="158"/>
      <c r="G209" s="158"/>
      <c r="H209" s="158"/>
      <c r="I209" s="158"/>
      <c r="J209" s="158"/>
      <c r="K209" s="158"/>
      <c r="L209" s="159"/>
      <c r="M209" s="158"/>
      <c r="N209" s="158"/>
      <c r="O209" s="158"/>
    </row>
    <row r="210" spans="2:15" s="379" customFormat="1" ht="16.5" hidden="1">
      <c r="B210" s="165"/>
      <c r="C210" s="158"/>
      <c r="D210" s="158"/>
      <c r="E210" s="158"/>
      <c r="F210" s="158"/>
      <c r="G210" s="158"/>
      <c r="H210" s="158"/>
      <c r="I210" s="158"/>
      <c r="J210" s="158"/>
      <c r="K210" s="158"/>
      <c r="L210" s="159"/>
      <c r="M210" s="158"/>
      <c r="N210" s="158"/>
      <c r="O210" s="158"/>
    </row>
    <row r="211" spans="2:15" s="379" customFormat="1" ht="16.5" hidden="1">
      <c r="B211" s="165"/>
      <c r="C211" s="158"/>
      <c r="D211" s="158"/>
      <c r="E211" s="158"/>
      <c r="F211" s="158"/>
      <c r="G211" s="158"/>
      <c r="H211" s="158"/>
      <c r="I211" s="158"/>
      <c r="J211" s="158"/>
      <c r="K211" s="158"/>
      <c r="L211" s="159"/>
      <c r="M211" s="158"/>
      <c r="N211" s="158"/>
      <c r="O211" s="158"/>
    </row>
    <row r="212" spans="2:15" s="379" customFormat="1" ht="16.5" hidden="1">
      <c r="B212" s="165"/>
      <c r="C212" s="158"/>
      <c r="D212" s="158"/>
      <c r="E212" s="158"/>
      <c r="F212" s="158"/>
      <c r="G212" s="158"/>
      <c r="H212" s="158"/>
      <c r="I212" s="158"/>
      <c r="J212" s="158"/>
      <c r="K212" s="158"/>
      <c r="L212" s="159"/>
      <c r="M212" s="158"/>
      <c r="N212" s="158"/>
      <c r="O212" s="158"/>
    </row>
    <row r="213" spans="2:15" s="379" customFormat="1" ht="16.5" hidden="1">
      <c r="B213" s="165"/>
      <c r="C213" s="158"/>
      <c r="D213" s="158"/>
      <c r="E213" s="158"/>
      <c r="F213" s="158"/>
      <c r="G213" s="158"/>
      <c r="H213" s="158"/>
      <c r="I213" s="158"/>
      <c r="J213" s="158"/>
      <c r="K213" s="158"/>
      <c r="L213" s="159"/>
      <c r="M213" s="158"/>
      <c r="N213" s="158"/>
      <c r="O213" s="158"/>
    </row>
    <row r="214" spans="2:15" s="379" customFormat="1" ht="16.5" hidden="1">
      <c r="B214" s="165"/>
      <c r="C214" s="158"/>
      <c r="D214" s="158"/>
      <c r="E214" s="158"/>
      <c r="F214" s="158"/>
      <c r="G214" s="158"/>
      <c r="H214" s="158"/>
      <c r="I214" s="158"/>
      <c r="J214" s="158"/>
      <c r="K214" s="158"/>
      <c r="L214" s="159"/>
      <c r="M214" s="158"/>
      <c r="N214" s="158"/>
      <c r="O214" s="158"/>
    </row>
    <row r="215" spans="2:15" s="379" customFormat="1" ht="16.5" hidden="1">
      <c r="B215" s="165"/>
      <c r="C215" s="158"/>
      <c r="D215" s="158"/>
      <c r="E215" s="158"/>
      <c r="F215" s="158"/>
      <c r="G215" s="158"/>
      <c r="H215" s="158"/>
      <c r="I215" s="158"/>
      <c r="J215" s="158"/>
      <c r="K215" s="158"/>
      <c r="L215" s="159"/>
      <c r="M215" s="158"/>
      <c r="N215" s="158"/>
      <c r="O215" s="158"/>
    </row>
    <row r="216" spans="2:15" s="379" customFormat="1" ht="16.5" hidden="1">
      <c r="B216" s="165"/>
      <c r="C216" s="158"/>
      <c r="D216" s="158"/>
      <c r="E216" s="158"/>
      <c r="F216" s="158"/>
      <c r="G216" s="158"/>
      <c r="H216" s="158"/>
      <c r="I216" s="158"/>
      <c r="J216" s="158"/>
      <c r="K216" s="158"/>
      <c r="L216" s="159"/>
      <c r="M216" s="158"/>
      <c r="N216" s="158"/>
      <c r="O216" s="158"/>
    </row>
    <row r="217" spans="2:15" s="379" customFormat="1" ht="16.5" hidden="1">
      <c r="B217" s="165"/>
      <c r="C217" s="158"/>
      <c r="D217" s="158"/>
      <c r="E217" s="158"/>
      <c r="F217" s="158"/>
      <c r="G217" s="158"/>
      <c r="H217" s="158"/>
      <c r="I217" s="158"/>
      <c r="J217" s="158"/>
      <c r="K217" s="158"/>
      <c r="L217" s="159"/>
      <c r="M217" s="158"/>
      <c r="N217" s="158"/>
      <c r="O217" s="158"/>
    </row>
    <row r="218" spans="2:15" s="379" customFormat="1" ht="16.5" hidden="1">
      <c r="B218" s="165"/>
      <c r="C218" s="158"/>
      <c r="D218" s="158"/>
      <c r="E218" s="158"/>
      <c r="F218" s="158"/>
      <c r="G218" s="158"/>
      <c r="H218" s="158"/>
      <c r="I218" s="158"/>
      <c r="J218" s="158"/>
      <c r="K218" s="158"/>
      <c r="L218" s="159"/>
      <c r="M218" s="158"/>
      <c r="N218" s="158"/>
      <c r="O218" s="158"/>
    </row>
    <row r="219" spans="2:15" s="379" customFormat="1" ht="16.5" hidden="1">
      <c r="B219" s="165"/>
      <c r="C219" s="158"/>
      <c r="D219" s="158"/>
      <c r="E219" s="158"/>
      <c r="F219" s="158"/>
      <c r="G219" s="158"/>
      <c r="H219" s="158"/>
      <c r="I219" s="158"/>
      <c r="J219" s="158"/>
      <c r="K219" s="158"/>
      <c r="L219" s="159"/>
      <c r="M219" s="158"/>
      <c r="N219" s="158"/>
      <c r="O219" s="158"/>
    </row>
    <row r="220" spans="2:15" s="379" customFormat="1" ht="16.5" hidden="1">
      <c r="B220" s="165"/>
      <c r="C220" s="158"/>
      <c r="D220" s="158"/>
      <c r="E220" s="158"/>
      <c r="F220" s="158"/>
      <c r="G220" s="158"/>
      <c r="H220" s="158"/>
      <c r="I220" s="158"/>
      <c r="J220" s="158"/>
      <c r="K220" s="158"/>
      <c r="L220" s="159"/>
      <c r="M220" s="158"/>
      <c r="N220" s="158"/>
      <c r="O220" s="158"/>
    </row>
    <row r="221" spans="2:15" s="379" customFormat="1" ht="16.5" hidden="1">
      <c r="B221" s="165"/>
      <c r="C221" s="158"/>
      <c r="D221" s="158"/>
      <c r="E221" s="158"/>
      <c r="F221" s="158"/>
      <c r="G221" s="158"/>
      <c r="H221" s="158"/>
      <c r="I221" s="158"/>
      <c r="J221" s="158"/>
      <c r="K221" s="158"/>
      <c r="L221" s="159"/>
      <c r="M221" s="158"/>
      <c r="N221" s="158"/>
      <c r="O221" s="158"/>
    </row>
    <row r="222" spans="2:15" s="379" customFormat="1" ht="16.5" hidden="1">
      <c r="B222" s="165"/>
      <c r="C222" s="158"/>
      <c r="D222" s="158"/>
      <c r="E222" s="158"/>
      <c r="F222" s="158"/>
      <c r="G222" s="158"/>
      <c r="H222" s="158"/>
      <c r="I222" s="158"/>
      <c r="J222" s="158"/>
      <c r="K222" s="158"/>
      <c r="L222" s="159"/>
      <c r="M222" s="158"/>
      <c r="N222" s="158"/>
      <c r="O222" s="158"/>
    </row>
    <row r="223" spans="2:15" s="379" customFormat="1" ht="16.5" hidden="1">
      <c r="B223" s="165"/>
      <c r="C223" s="158"/>
      <c r="D223" s="158"/>
      <c r="E223" s="158"/>
      <c r="F223" s="158"/>
      <c r="G223" s="158"/>
      <c r="H223" s="158"/>
      <c r="I223" s="158"/>
      <c r="J223" s="158"/>
      <c r="K223" s="158"/>
      <c r="L223" s="159"/>
      <c r="M223" s="158"/>
      <c r="N223" s="158"/>
      <c r="O223" s="158"/>
    </row>
    <row r="224" spans="2:15" s="379" customFormat="1" ht="16.5" hidden="1">
      <c r="B224" s="165"/>
      <c r="C224" s="158"/>
      <c r="D224" s="158"/>
      <c r="E224" s="158"/>
      <c r="F224" s="158"/>
      <c r="G224" s="158"/>
      <c r="H224" s="158"/>
      <c r="I224" s="158"/>
      <c r="J224" s="158"/>
      <c r="K224" s="158"/>
      <c r="L224" s="159"/>
      <c r="M224" s="158"/>
      <c r="N224" s="158"/>
      <c r="O224" s="158"/>
    </row>
    <row r="225" spans="2:15" s="379" customFormat="1" ht="16.5" hidden="1">
      <c r="B225" s="165"/>
      <c r="C225" s="158"/>
      <c r="D225" s="158"/>
      <c r="E225" s="158"/>
      <c r="F225" s="158"/>
      <c r="G225" s="158"/>
      <c r="H225" s="158"/>
      <c r="I225" s="158"/>
      <c r="J225" s="158"/>
      <c r="K225" s="158"/>
      <c r="L225" s="159"/>
      <c r="M225" s="158"/>
      <c r="N225" s="158"/>
      <c r="O225" s="158"/>
    </row>
    <row r="226" spans="2:15" s="379" customFormat="1" ht="16.5" hidden="1">
      <c r="B226" s="165"/>
      <c r="C226" s="158"/>
      <c r="D226" s="158"/>
      <c r="E226" s="158"/>
      <c r="F226" s="158"/>
      <c r="G226" s="158"/>
      <c r="H226" s="158"/>
      <c r="I226" s="158"/>
      <c r="J226" s="158"/>
      <c r="K226" s="158"/>
      <c r="L226" s="159"/>
      <c r="M226" s="158"/>
      <c r="N226" s="158"/>
      <c r="O226" s="158"/>
    </row>
    <row r="227" spans="2:15" s="379" customFormat="1" ht="16.5" hidden="1">
      <c r="B227" s="165"/>
      <c r="C227" s="158"/>
      <c r="D227" s="158"/>
      <c r="E227" s="158"/>
      <c r="F227" s="158"/>
      <c r="G227" s="158"/>
      <c r="H227" s="158"/>
      <c r="I227" s="158"/>
      <c r="J227" s="158"/>
      <c r="K227" s="158"/>
      <c r="L227" s="159"/>
      <c r="M227" s="158"/>
      <c r="N227" s="158"/>
      <c r="O227" s="158"/>
    </row>
    <row r="228" spans="2:15" s="379" customFormat="1" ht="16.5" hidden="1">
      <c r="B228" s="165"/>
      <c r="C228" s="158"/>
      <c r="D228" s="158"/>
      <c r="E228" s="158"/>
      <c r="F228" s="158"/>
      <c r="G228" s="158"/>
      <c r="H228" s="158"/>
      <c r="I228" s="158"/>
      <c r="J228" s="158"/>
      <c r="K228" s="158"/>
      <c r="L228" s="159"/>
      <c r="M228" s="158"/>
      <c r="N228" s="158"/>
      <c r="O228" s="158"/>
    </row>
    <row r="229" spans="2:15" s="379" customFormat="1" ht="16.5" hidden="1">
      <c r="B229" s="165"/>
      <c r="C229" s="158"/>
      <c r="D229" s="158"/>
      <c r="E229" s="158"/>
      <c r="F229" s="158"/>
      <c r="G229" s="158"/>
      <c r="H229" s="158"/>
      <c r="I229" s="158"/>
      <c r="J229" s="158"/>
      <c r="K229" s="158"/>
      <c r="L229" s="159"/>
      <c r="M229" s="158"/>
      <c r="N229" s="158"/>
      <c r="O229" s="158"/>
    </row>
    <row r="230" spans="2:15" s="379" customFormat="1" ht="16.5" hidden="1">
      <c r="B230" s="165"/>
      <c r="C230" s="158"/>
      <c r="D230" s="158"/>
      <c r="E230" s="158"/>
      <c r="F230" s="158"/>
      <c r="G230" s="158"/>
      <c r="H230" s="158"/>
      <c r="I230" s="158"/>
      <c r="J230" s="158"/>
      <c r="K230" s="158"/>
      <c r="L230" s="159"/>
      <c r="M230" s="158"/>
      <c r="N230" s="158"/>
      <c r="O230" s="158"/>
    </row>
    <row r="231" spans="2:15" s="379" customFormat="1" ht="16.5" hidden="1">
      <c r="B231" s="165"/>
      <c r="C231" s="158"/>
      <c r="D231" s="158"/>
      <c r="E231" s="158"/>
      <c r="F231" s="158"/>
      <c r="G231" s="158"/>
      <c r="H231" s="158"/>
      <c r="I231" s="158"/>
      <c r="J231" s="158"/>
      <c r="K231" s="158"/>
      <c r="L231" s="159"/>
      <c r="M231" s="158"/>
      <c r="N231" s="158"/>
      <c r="O231" s="158"/>
    </row>
    <row r="232" spans="2:15" s="379" customFormat="1" ht="16.5" hidden="1">
      <c r="B232" s="165"/>
      <c r="C232" s="158"/>
      <c r="D232" s="158"/>
      <c r="E232" s="158"/>
      <c r="F232" s="158"/>
      <c r="G232" s="158"/>
      <c r="H232" s="158"/>
      <c r="I232" s="158"/>
      <c r="J232" s="158"/>
      <c r="K232" s="158"/>
      <c r="L232" s="159"/>
      <c r="M232" s="158"/>
      <c r="N232" s="158"/>
      <c r="O232" s="158"/>
    </row>
    <row r="233" spans="2:15" s="379" customFormat="1" ht="16.5" hidden="1">
      <c r="B233" s="165"/>
      <c r="C233" s="158"/>
      <c r="D233" s="158"/>
      <c r="E233" s="158"/>
      <c r="F233" s="158"/>
      <c r="G233" s="158"/>
      <c r="H233" s="158"/>
      <c r="I233" s="158"/>
      <c r="J233" s="158"/>
      <c r="K233" s="158"/>
      <c r="L233" s="159"/>
      <c r="M233" s="158"/>
      <c r="N233" s="158"/>
      <c r="O233" s="158"/>
    </row>
    <row r="234" spans="2:15" s="379" customFormat="1" ht="16.5" hidden="1">
      <c r="B234" s="165"/>
      <c r="C234" s="158"/>
      <c r="D234" s="158"/>
      <c r="E234" s="158"/>
      <c r="F234" s="158"/>
      <c r="G234" s="158"/>
      <c r="H234" s="158"/>
      <c r="I234" s="158"/>
      <c r="J234" s="158"/>
      <c r="K234" s="158"/>
      <c r="L234" s="159"/>
      <c r="M234" s="158"/>
      <c r="N234" s="158"/>
      <c r="O234" s="158"/>
    </row>
    <row r="235" spans="2:15" s="379" customFormat="1" ht="16.5" hidden="1">
      <c r="B235" s="165"/>
      <c r="C235" s="158"/>
      <c r="D235" s="158"/>
      <c r="E235" s="158"/>
      <c r="F235" s="158"/>
      <c r="G235" s="158"/>
      <c r="H235" s="158"/>
      <c r="I235" s="158"/>
      <c r="J235" s="158"/>
      <c r="K235" s="158"/>
      <c r="L235" s="159"/>
      <c r="M235" s="158"/>
      <c r="N235" s="158"/>
      <c r="O235" s="158"/>
    </row>
    <row r="236" spans="2:15" s="379" customFormat="1" ht="16.5" hidden="1">
      <c r="B236" s="165"/>
      <c r="C236" s="158"/>
      <c r="D236" s="158"/>
      <c r="E236" s="158"/>
      <c r="F236" s="158"/>
      <c r="G236" s="158"/>
      <c r="H236" s="158"/>
      <c r="I236" s="158"/>
      <c r="J236" s="158"/>
      <c r="K236" s="158"/>
      <c r="L236" s="159"/>
      <c r="M236" s="158"/>
      <c r="N236" s="158"/>
      <c r="O236" s="158"/>
    </row>
    <row r="237" spans="2:15" s="379" customFormat="1" ht="16.5" hidden="1">
      <c r="B237" s="165"/>
      <c r="C237" s="158"/>
      <c r="D237" s="158"/>
      <c r="E237" s="158"/>
      <c r="F237" s="158"/>
      <c r="G237" s="158"/>
      <c r="H237" s="158"/>
      <c r="I237" s="158"/>
      <c r="J237" s="158"/>
      <c r="K237" s="158"/>
      <c r="L237" s="159"/>
      <c r="M237" s="158"/>
      <c r="N237" s="158"/>
      <c r="O237" s="158"/>
    </row>
    <row r="238" spans="2:15" s="379" customFormat="1" ht="16.5" hidden="1">
      <c r="B238" s="165"/>
      <c r="C238" s="158"/>
      <c r="D238" s="158"/>
      <c r="E238" s="158"/>
      <c r="F238" s="158"/>
      <c r="G238" s="158"/>
      <c r="H238" s="158"/>
      <c r="I238" s="158"/>
      <c r="J238" s="158"/>
      <c r="K238" s="158"/>
      <c r="L238" s="159"/>
      <c r="M238" s="158"/>
      <c r="N238" s="158"/>
      <c r="O238" s="158"/>
    </row>
    <row r="239" spans="2:15" s="379" customFormat="1" ht="16.5" hidden="1">
      <c r="B239" s="165"/>
      <c r="C239" s="158"/>
      <c r="D239" s="158"/>
      <c r="E239" s="158"/>
      <c r="F239" s="158"/>
      <c r="G239" s="158"/>
      <c r="H239" s="158"/>
      <c r="I239" s="158"/>
      <c r="J239" s="158"/>
      <c r="K239" s="158"/>
      <c r="L239" s="159"/>
      <c r="M239" s="158"/>
      <c r="N239" s="158"/>
      <c r="O239" s="158"/>
    </row>
    <row r="240" spans="2:15" s="379" customFormat="1" ht="16.5" hidden="1">
      <c r="B240" s="165"/>
      <c r="C240" s="158"/>
      <c r="D240" s="158"/>
      <c r="E240" s="158"/>
      <c r="F240" s="158"/>
      <c r="G240" s="158"/>
      <c r="H240" s="158"/>
      <c r="I240" s="158"/>
      <c r="J240" s="158"/>
      <c r="K240" s="158"/>
      <c r="L240" s="159"/>
      <c r="M240" s="158"/>
      <c r="N240" s="158"/>
      <c r="O240" s="158"/>
    </row>
    <row r="241" spans="2:15" s="379" customFormat="1" ht="16.5" hidden="1">
      <c r="B241" s="165"/>
      <c r="C241" s="158"/>
      <c r="D241" s="158"/>
      <c r="E241" s="158"/>
      <c r="F241" s="158"/>
      <c r="G241" s="158"/>
      <c r="H241" s="158"/>
      <c r="I241" s="158"/>
      <c r="J241" s="158"/>
      <c r="K241" s="158"/>
      <c r="L241" s="159"/>
      <c r="M241" s="158"/>
      <c r="N241" s="158"/>
      <c r="O241" s="158"/>
    </row>
    <row r="242" spans="2:15" s="379" customFormat="1" ht="16.5" hidden="1">
      <c r="B242" s="165"/>
      <c r="C242" s="158"/>
      <c r="D242" s="158"/>
      <c r="E242" s="158"/>
      <c r="F242" s="158"/>
      <c r="G242" s="158"/>
      <c r="H242" s="158"/>
      <c r="I242" s="158"/>
      <c r="J242" s="158"/>
      <c r="K242" s="158"/>
      <c r="L242" s="159"/>
      <c r="M242" s="158"/>
      <c r="N242" s="158"/>
      <c r="O242" s="158"/>
    </row>
    <row r="243" spans="2:15" s="379" customFormat="1" ht="16.5" hidden="1">
      <c r="B243" s="165"/>
      <c r="C243" s="158"/>
      <c r="D243" s="158"/>
      <c r="E243" s="158"/>
      <c r="F243" s="158"/>
      <c r="G243" s="158"/>
      <c r="H243" s="158"/>
      <c r="I243" s="158"/>
      <c r="J243" s="158"/>
      <c r="K243" s="158"/>
      <c r="L243" s="159"/>
      <c r="M243" s="158"/>
      <c r="N243" s="158"/>
      <c r="O243" s="158"/>
    </row>
    <row r="244" spans="2:15" s="379" customFormat="1" ht="16.5" hidden="1">
      <c r="B244" s="165"/>
      <c r="C244" s="158"/>
      <c r="D244" s="158"/>
      <c r="E244" s="158"/>
      <c r="F244" s="158"/>
      <c r="G244" s="158"/>
      <c r="H244" s="158"/>
      <c r="I244" s="158"/>
      <c r="J244" s="158"/>
      <c r="K244" s="158"/>
      <c r="L244" s="159"/>
      <c r="M244" s="158"/>
      <c r="N244" s="158"/>
      <c r="O244" s="158"/>
    </row>
    <row r="245" spans="2:15" s="379" customFormat="1" ht="16.5" hidden="1">
      <c r="B245" s="165"/>
      <c r="C245" s="158"/>
      <c r="D245" s="158"/>
      <c r="E245" s="158"/>
      <c r="F245" s="158"/>
      <c r="G245" s="158"/>
      <c r="H245" s="158"/>
      <c r="I245" s="158"/>
      <c r="J245" s="158"/>
      <c r="K245" s="158"/>
      <c r="L245" s="159"/>
      <c r="M245" s="158"/>
      <c r="N245" s="158"/>
      <c r="O245" s="158"/>
    </row>
    <row r="246" spans="2:15" s="379" customFormat="1" ht="16.5" hidden="1">
      <c r="B246" s="165"/>
      <c r="C246" s="158"/>
      <c r="D246" s="158"/>
      <c r="E246" s="158"/>
      <c r="F246" s="158"/>
      <c r="G246" s="158"/>
      <c r="H246" s="158"/>
      <c r="I246" s="158"/>
      <c r="J246" s="158"/>
      <c r="K246" s="158"/>
      <c r="L246" s="159"/>
      <c r="M246" s="158"/>
      <c r="N246" s="158"/>
      <c r="O246" s="158"/>
    </row>
    <row r="247" spans="2:15" s="379" customFormat="1" ht="16.5" hidden="1">
      <c r="B247" s="165"/>
      <c r="C247" s="158"/>
      <c r="D247" s="158"/>
      <c r="E247" s="158"/>
      <c r="F247" s="158"/>
      <c r="G247" s="158"/>
      <c r="H247" s="158"/>
      <c r="I247" s="158"/>
      <c r="J247" s="158"/>
      <c r="K247" s="158"/>
      <c r="L247" s="159"/>
      <c r="M247" s="158"/>
      <c r="N247" s="158"/>
      <c r="O247" s="158"/>
    </row>
    <row r="248" spans="2:15" s="379" customFormat="1" ht="16.5" hidden="1">
      <c r="B248" s="165"/>
      <c r="C248" s="158"/>
      <c r="D248" s="158"/>
      <c r="E248" s="158"/>
      <c r="F248" s="158"/>
      <c r="G248" s="158"/>
      <c r="H248" s="158"/>
      <c r="I248" s="158"/>
      <c r="J248" s="158"/>
      <c r="K248" s="158"/>
      <c r="L248" s="159"/>
      <c r="M248" s="158"/>
      <c r="N248" s="158"/>
      <c r="O248" s="158"/>
    </row>
    <row r="249" spans="2:15" s="379" customFormat="1" ht="16.5" hidden="1">
      <c r="B249" s="165"/>
      <c r="C249" s="158"/>
      <c r="D249" s="158"/>
      <c r="E249" s="158"/>
      <c r="F249" s="158"/>
      <c r="G249" s="158"/>
      <c r="H249" s="158"/>
      <c r="I249" s="158"/>
      <c r="J249" s="158"/>
      <c r="K249" s="158"/>
      <c r="L249" s="159"/>
      <c r="M249" s="158"/>
      <c r="N249" s="158"/>
      <c r="O249" s="158"/>
    </row>
    <row r="250" spans="2:15" s="379" customFormat="1" ht="16.5" hidden="1">
      <c r="B250" s="165"/>
      <c r="C250" s="158"/>
      <c r="D250" s="158"/>
      <c r="E250" s="158"/>
      <c r="F250" s="158"/>
      <c r="G250" s="158"/>
      <c r="H250" s="158"/>
      <c r="I250" s="158"/>
      <c r="J250" s="158"/>
      <c r="K250" s="158"/>
      <c r="L250" s="159"/>
      <c r="M250" s="158"/>
      <c r="N250" s="158"/>
      <c r="O250" s="158"/>
    </row>
    <row r="251" spans="2:15" s="379" customFormat="1" ht="16.5" hidden="1">
      <c r="B251" s="165"/>
      <c r="C251" s="158"/>
      <c r="D251" s="158"/>
      <c r="E251" s="158"/>
      <c r="F251" s="158"/>
      <c r="G251" s="158"/>
      <c r="H251" s="158"/>
      <c r="I251" s="158"/>
      <c r="J251" s="158"/>
      <c r="K251" s="158"/>
      <c r="L251" s="159"/>
      <c r="M251" s="158"/>
      <c r="N251" s="158"/>
      <c r="O251" s="158"/>
    </row>
    <row r="252" spans="2:15" s="379" customFormat="1" ht="16.5" hidden="1">
      <c r="B252" s="165"/>
      <c r="C252" s="158"/>
      <c r="D252" s="158"/>
      <c r="E252" s="158"/>
      <c r="F252" s="158"/>
      <c r="G252" s="158"/>
      <c r="H252" s="158"/>
      <c r="I252" s="158"/>
      <c r="J252" s="158"/>
      <c r="K252" s="158"/>
      <c r="L252" s="159"/>
      <c r="M252" s="158"/>
      <c r="N252" s="158"/>
      <c r="O252" s="158"/>
    </row>
    <row r="253" spans="2:15" s="379" customFormat="1" ht="16.5" hidden="1">
      <c r="B253" s="165"/>
      <c r="C253" s="158"/>
      <c r="D253" s="158"/>
      <c r="E253" s="158"/>
      <c r="F253" s="158"/>
      <c r="G253" s="158"/>
      <c r="H253" s="158"/>
      <c r="I253" s="158"/>
      <c r="J253" s="158"/>
      <c r="K253" s="158"/>
      <c r="L253" s="159"/>
      <c r="M253" s="158"/>
      <c r="N253" s="158"/>
      <c r="O253" s="158"/>
    </row>
    <row r="254" spans="2:15" s="379" customFormat="1" ht="16.5" hidden="1">
      <c r="B254" s="165"/>
      <c r="C254" s="158"/>
      <c r="D254" s="158"/>
      <c r="E254" s="158"/>
      <c r="F254" s="158"/>
      <c r="G254" s="158"/>
      <c r="H254" s="158"/>
      <c r="I254" s="158"/>
      <c r="J254" s="158"/>
      <c r="K254" s="158"/>
      <c r="L254" s="159"/>
      <c r="M254" s="158"/>
      <c r="N254" s="158"/>
      <c r="O254" s="158"/>
    </row>
    <row r="255" spans="2:15" s="379" customFormat="1" ht="16.5" hidden="1">
      <c r="B255" s="165"/>
      <c r="C255" s="158"/>
      <c r="D255" s="158"/>
      <c r="E255" s="158"/>
      <c r="F255" s="158"/>
      <c r="G255" s="158"/>
      <c r="H255" s="158"/>
      <c r="I255" s="158"/>
      <c r="J255" s="158"/>
      <c r="K255" s="158"/>
      <c r="L255" s="159"/>
      <c r="M255" s="158"/>
      <c r="N255" s="158"/>
      <c r="O255" s="158"/>
    </row>
    <row r="256" spans="2:15" s="379" customFormat="1" ht="16.5" hidden="1">
      <c r="B256" s="165"/>
      <c r="C256" s="158"/>
      <c r="D256" s="158"/>
      <c r="E256" s="158"/>
      <c r="F256" s="158"/>
      <c r="G256" s="158"/>
      <c r="H256" s="158"/>
      <c r="I256" s="158"/>
      <c r="J256" s="158"/>
      <c r="K256" s="158"/>
      <c r="L256" s="159"/>
      <c r="M256" s="158"/>
      <c r="N256" s="158"/>
      <c r="O256" s="158"/>
    </row>
    <row r="257" spans="2:15" s="379" customFormat="1" ht="16.5" hidden="1">
      <c r="B257" s="165"/>
      <c r="C257" s="158"/>
      <c r="D257" s="158"/>
      <c r="E257" s="158"/>
      <c r="F257" s="158"/>
      <c r="G257" s="158"/>
      <c r="H257" s="158"/>
      <c r="I257" s="158"/>
      <c r="J257" s="158"/>
      <c r="K257" s="158"/>
      <c r="L257" s="159"/>
      <c r="M257" s="158"/>
      <c r="N257" s="158"/>
      <c r="O257" s="158"/>
    </row>
    <row r="258" spans="2:15" s="379" customFormat="1" ht="16.5" hidden="1">
      <c r="B258" s="165"/>
      <c r="C258" s="158"/>
      <c r="D258" s="158"/>
      <c r="E258" s="158"/>
      <c r="F258" s="158"/>
      <c r="G258" s="158"/>
      <c r="H258" s="158"/>
      <c r="I258" s="158"/>
      <c r="J258" s="158"/>
      <c r="K258" s="158"/>
      <c r="L258" s="159"/>
      <c r="M258" s="158"/>
      <c r="N258" s="158"/>
      <c r="O258" s="158"/>
    </row>
    <row r="259" spans="2:15" s="379" customFormat="1" ht="16.5" hidden="1">
      <c r="B259" s="165"/>
      <c r="C259" s="158"/>
      <c r="D259" s="158"/>
      <c r="E259" s="158"/>
      <c r="F259" s="158"/>
      <c r="G259" s="158"/>
      <c r="H259" s="158"/>
      <c r="I259" s="158"/>
      <c r="J259" s="158"/>
      <c r="K259" s="158"/>
      <c r="L259" s="159"/>
      <c r="M259" s="158"/>
      <c r="N259" s="158"/>
      <c r="O259" s="158"/>
    </row>
    <row r="260" spans="2:15" s="379" customFormat="1" ht="16.5" hidden="1">
      <c r="B260" s="165"/>
      <c r="C260" s="158"/>
      <c r="D260" s="158"/>
      <c r="E260" s="158"/>
      <c r="F260" s="158"/>
      <c r="G260" s="158"/>
      <c r="H260" s="158"/>
      <c r="I260" s="158"/>
      <c r="J260" s="158"/>
      <c r="K260" s="158"/>
      <c r="L260" s="159"/>
      <c r="M260" s="158"/>
      <c r="N260" s="158"/>
      <c r="O260" s="158"/>
    </row>
    <row r="261" spans="2:15" s="379" customFormat="1" ht="16.5" hidden="1">
      <c r="B261" s="165"/>
      <c r="C261" s="158"/>
      <c r="D261" s="158"/>
      <c r="E261" s="158"/>
      <c r="F261" s="158"/>
      <c r="G261" s="158"/>
      <c r="H261" s="158"/>
      <c r="I261" s="158"/>
      <c r="J261" s="158"/>
      <c r="K261" s="158"/>
      <c r="L261" s="159"/>
      <c r="M261" s="158"/>
      <c r="N261" s="158"/>
      <c r="O261" s="158"/>
    </row>
    <row r="262" spans="2:15" s="379" customFormat="1" ht="16.5" hidden="1">
      <c r="B262" s="165"/>
      <c r="C262" s="158"/>
      <c r="D262" s="158"/>
      <c r="E262" s="158"/>
      <c r="F262" s="158"/>
      <c r="G262" s="158"/>
      <c r="H262" s="158"/>
      <c r="I262" s="158"/>
      <c r="J262" s="158"/>
      <c r="K262" s="158"/>
      <c r="L262" s="159"/>
      <c r="M262" s="158"/>
      <c r="N262" s="158"/>
      <c r="O262" s="158"/>
    </row>
    <row r="263" spans="2:15" s="379" customFormat="1" ht="16.5" hidden="1">
      <c r="B263" s="165"/>
      <c r="C263" s="158"/>
      <c r="D263" s="158"/>
      <c r="E263" s="158"/>
      <c r="F263" s="158"/>
      <c r="G263" s="158"/>
      <c r="H263" s="158"/>
      <c r="I263" s="158"/>
      <c r="J263" s="158"/>
      <c r="K263" s="158"/>
      <c r="L263" s="159"/>
      <c r="M263" s="158"/>
      <c r="N263" s="158"/>
      <c r="O263" s="158"/>
    </row>
    <row r="264" spans="2:15" s="379" customFormat="1" ht="16.5" hidden="1">
      <c r="B264" s="165"/>
      <c r="C264" s="158"/>
      <c r="D264" s="158"/>
      <c r="E264" s="158"/>
      <c r="F264" s="158"/>
      <c r="G264" s="158"/>
      <c r="H264" s="158"/>
      <c r="I264" s="158"/>
      <c r="J264" s="158"/>
      <c r="K264" s="158"/>
      <c r="L264" s="159"/>
      <c r="M264" s="158"/>
      <c r="N264" s="158"/>
      <c r="O264" s="158"/>
    </row>
    <row r="265" spans="2:15" s="379" customFormat="1" ht="16.5" hidden="1">
      <c r="B265" s="165"/>
      <c r="C265" s="158"/>
      <c r="D265" s="158"/>
      <c r="E265" s="158"/>
      <c r="F265" s="158"/>
      <c r="G265" s="158"/>
      <c r="H265" s="158"/>
      <c r="I265" s="158"/>
      <c r="J265" s="158"/>
      <c r="K265" s="158"/>
      <c r="L265" s="159"/>
      <c r="M265" s="158"/>
      <c r="N265" s="158"/>
      <c r="O265" s="158"/>
    </row>
    <row r="266" spans="2:15" s="379" customFormat="1" ht="16.5" hidden="1">
      <c r="B266" s="165"/>
      <c r="C266" s="158"/>
      <c r="D266" s="158"/>
      <c r="E266" s="158"/>
      <c r="F266" s="158"/>
      <c r="G266" s="158"/>
      <c r="H266" s="158"/>
      <c r="I266" s="158"/>
      <c r="J266" s="158"/>
      <c r="K266" s="158"/>
      <c r="L266" s="159"/>
      <c r="M266" s="158"/>
      <c r="N266" s="158"/>
      <c r="O266" s="158"/>
    </row>
    <row r="267" spans="2:15" s="379" customFormat="1" ht="16.5" hidden="1">
      <c r="B267" s="165"/>
      <c r="C267" s="158"/>
      <c r="D267" s="158"/>
      <c r="E267" s="158"/>
      <c r="F267" s="158"/>
      <c r="G267" s="158"/>
      <c r="H267" s="158"/>
      <c r="I267" s="158"/>
      <c r="J267" s="158"/>
      <c r="K267" s="158"/>
      <c r="L267" s="159"/>
      <c r="M267" s="158"/>
      <c r="N267" s="158"/>
      <c r="O267" s="158"/>
    </row>
    <row r="268" spans="2:15" s="379" customFormat="1" ht="16.5" hidden="1">
      <c r="B268" s="165"/>
      <c r="C268" s="158"/>
      <c r="D268" s="158"/>
      <c r="E268" s="158"/>
      <c r="F268" s="158"/>
      <c r="G268" s="158"/>
      <c r="H268" s="158"/>
      <c r="I268" s="158"/>
      <c r="J268" s="158"/>
      <c r="K268" s="158"/>
      <c r="L268" s="159"/>
      <c r="M268" s="158"/>
      <c r="N268" s="158"/>
      <c r="O268" s="158"/>
    </row>
    <row r="269" spans="2:15" s="379" customFormat="1" ht="16.5" hidden="1">
      <c r="B269" s="165"/>
      <c r="C269" s="158"/>
      <c r="D269" s="158"/>
      <c r="E269" s="158"/>
      <c r="F269" s="158"/>
      <c r="G269" s="158"/>
      <c r="H269" s="158"/>
      <c r="I269" s="158"/>
      <c r="J269" s="158"/>
      <c r="K269" s="158"/>
      <c r="L269" s="159"/>
      <c r="M269" s="158"/>
      <c r="N269" s="158"/>
      <c r="O269" s="158"/>
    </row>
    <row r="270" spans="2:15" s="379" customFormat="1" ht="16.5" hidden="1">
      <c r="B270" s="165"/>
      <c r="C270" s="158"/>
      <c r="D270" s="158"/>
      <c r="E270" s="158"/>
      <c r="F270" s="158"/>
      <c r="G270" s="158"/>
      <c r="H270" s="158"/>
      <c r="I270" s="158"/>
      <c r="J270" s="158"/>
      <c r="K270" s="158"/>
      <c r="L270" s="159"/>
      <c r="M270" s="158"/>
      <c r="N270" s="158"/>
      <c r="O270" s="158"/>
    </row>
    <row r="271" spans="2:15" s="379" customFormat="1" ht="16.5" hidden="1">
      <c r="B271" s="165"/>
      <c r="C271" s="158"/>
      <c r="D271" s="158"/>
      <c r="E271" s="158"/>
      <c r="F271" s="158"/>
      <c r="G271" s="158"/>
      <c r="H271" s="158"/>
      <c r="I271" s="158"/>
      <c r="J271" s="158"/>
      <c r="K271" s="158"/>
      <c r="L271" s="159"/>
      <c r="M271" s="158"/>
      <c r="N271" s="158"/>
      <c r="O271" s="158"/>
    </row>
    <row r="272" spans="2:15" s="379" customFormat="1" ht="16.5" hidden="1">
      <c r="B272" s="165"/>
      <c r="C272" s="158"/>
      <c r="D272" s="158"/>
      <c r="E272" s="158"/>
      <c r="F272" s="158"/>
      <c r="G272" s="158"/>
      <c r="H272" s="158"/>
      <c r="I272" s="158"/>
      <c r="J272" s="158"/>
      <c r="K272" s="158"/>
      <c r="L272" s="159"/>
      <c r="M272" s="158"/>
      <c r="N272" s="158"/>
      <c r="O272" s="158"/>
    </row>
    <row r="273" spans="2:15" s="379" customFormat="1" ht="16.5" hidden="1">
      <c r="B273" s="165"/>
      <c r="C273" s="158"/>
      <c r="D273" s="158"/>
      <c r="E273" s="158"/>
      <c r="F273" s="158"/>
      <c r="G273" s="158"/>
      <c r="H273" s="158"/>
      <c r="I273" s="158"/>
      <c r="J273" s="158"/>
      <c r="K273" s="158"/>
      <c r="L273" s="159"/>
      <c r="M273" s="158"/>
      <c r="N273" s="158"/>
      <c r="O273" s="158"/>
    </row>
    <row r="274" spans="2:15" s="379" customFormat="1" ht="16.5" hidden="1">
      <c r="B274" s="165"/>
      <c r="C274" s="158"/>
      <c r="D274" s="158"/>
      <c r="E274" s="158"/>
      <c r="F274" s="158"/>
      <c r="G274" s="158"/>
      <c r="H274" s="158"/>
      <c r="I274" s="158"/>
      <c r="J274" s="158"/>
      <c r="K274" s="158"/>
      <c r="L274" s="159"/>
      <c r="M274" s="158"/>
      <c r="N274" s="158"/>
      <c r="O274" s="158"/>
    </row>
    <row r="275" spans="2:15" s="379" customFormat="1" ht="16.5" hidden="1">
      <c r="B275" s="165"/>
      <c r="C275" s="158"/>
      <c r="D275" s="158"/>
      <c r="E275" s="158"/>
      <c r="F275" s="158"/>
      <c r="G275" s="158"/>
      <c r="H275" s="158"/>
      <c r="I275" s="158"/>
      <c r="J275" s="158"/>
      <c r="K275" s="158"/>
      <c r="L275" s="159"/>
      <c r="M275" s="158"/>
      <c r="N275" s="158"/>
      <c r="O275" s="158"/>
    </row>
    <row r="276" spans="2:15" s="379" customFormat="1" ht="16.5" hidden="1">
      <c r="B276" s="165"/>
      <c r="C276" s="158"/>
      <c r="D276" s="158"/>
      <c r="E276" s="158"/>
      <c r="F276" s="158"/>
      <c r="G276" s="158"/>
      <c r="H276" s="158"/>
      <c r="I276" s="158"/>
      <c r="J276" s="158"/>
      <c r="K276" s="158"/>
      <c r="L276" s="159"/>
      <c r="M276" s="158"/>
      <c r="N276" s="158"/>
      <c r="O276" s="158"/>
    </row>
    <row r="277" spans="2:15" s="379" customFormat="1" ht="16.5" hidden="1">
      <c r="B277" s="165"/>
      <c r="C277" s="158"/>
      <c r="D277" s="158"/>
      <c r="E277" s="158"/>
      <c r="F277" s="158"/>
      <c r="G277" s="158"/>
      <c r="H277" s="158"/>
      <c r="I277" s="158"/>
      <c r="J277" s="158"/>
      <c r="K277" s="158"/>
      <c r="L277" s="159"/>
      <c r="M277" s="158"/>
      <c r="N277" s="158"/>
      <c r="O277" s="158"/>
    </row>
    <row r="278" spans="2:15" s="379" customFormat="1" ht="16.5" hidden="1">
      <c r="B278" s="165"/>
      <c r="C278" s="158"/>
      <c r="D278" s="158"/>
      <c r="E278" s="158"/>
      <c r="F278" s="158"/>
      <c r="G278" s="158"/>
      <c r="H278" s="158"/>
      <c r="I278" s="158"/>
      <c r="J278" s="158"/>
      <c r="K278" s="158"/>
      <c r="L278" s="159"/>
      <c r="M278" s="158"/>
      <c r="N278" s="158"/>
      <c r="O278" s="158"/>
    </row>
    <row r="279" spans="2:15" s="379" customFormat="1" ht="16.5" hidden="1">
      <c r="B279" s="165"/>
      <c r="C279" s="158"/>
      <c r="D279" s="158"/>
      <c r="E279" s="158"/>
      <c r="F279" s="158"/>
      <c r="G279" s="158"/>
      <c r="H279" s="158"/>
      <c r="I279" s="158"/>
      <c r="J279" s="158"/>
      <c r="K279" s="158"/>
      <c r="L279" s="159"/>
      <c r="M279" s="158"/>
      <c r="N279" s="158"/>
      <c r="O279" s="158"/>
    </row>
    <row r="280" spans="2:15" s="379" customFormat="1" ht="16.5" hidden="1">
      <c r="B280" s="165"/>
      <c r="C280" s="158"/>
      <c r="D280" s="158"/>
      <c r="E280" s="158"/>
      <c r="F280" s="158"/>
      <c r="G280" s="158"/>
      <c r="H280" s="158"/>
      <c r="I280" s="158"/>
      <c r="J280" s="158"/>
      <c r="K280" s="158"/>
      <c r="L280" s="159"/>
      <c r="M280" s="158"/>
      <c r="N280" s="158"/>
      <c r="O280" s="158"/>
    </row>
    <row r="281" spans="2:15" s="379" customFormat="1" ht="16.5" hidden="1">
      <c r="B281" s="165"/>
      <c r="C281" s="158"/>
      <c r="D281" s="158"/>
      <c r="E281" s="158"/>
      <c r="F281" s="158"/>
      <c r="G281" s="158"/>
      <c r="H281" s="158"/>
      <c r="I281" s="158"/>
      <c r="J281" s="158"/>
      <c r="K281" s="158"/>
      <c r="L281" s="159"/>
      <c r="M281" s="158"/>
      <c r="N281" s="158"/>
      <c r="O281" s="158"/>
    </row>
    <row r="282" spans="2:15" s="379" customFormat="1" ht="16.5" hidden="1">
      <c r="B282" s="165"/>
      <c r="C282" s="158"/>
      <c r="D282" s="158"/>
      <c r="E282" s="158"/>
      <c r="F282" s="158"/>
      <c r="G282" s="158"/>
      <c r="H282" s="158"/>
      <c r="I282" s="158"/>
      <c r="J282" s="158"/>
      <c r="K282" s="158"/>
      <c r="L282" s="159"/>
      <c r="M282" s="158"/>
      <c r="N282" s="158"/>
      <c r="O282" s="158"/>
    </row>
    <row r="283" spans="2:15" s="379" customFormat="1" ht="16.5" hidden="1">
      <c r="B283" s="165"/>
      <c r="C283" s="158"/>
      <c r="D283" s="158"/>
      <c r="E283" s="158"/>
      <c r="F283" s="158"/>
      <c r="G283" s="158"/>
      <c r="H283" s="158"/>
      <c r="I283" s="158"/>
      <c r="J283" s="158"/>
      <c r="K283" s="158"/>
      <c r="L283" s="159"/>
      <c r="M283" s="158"/>
      <c r="N283" s="158"/>
      <c r="O283" s="158"/>
    </row>
    <row r="284" spans="2:15" s="379" customFormat="1" ht="16.5" hidden="1">
      <c r="B284" s="165"/>
      <c r="C284" s="158"/>
      <c r="D284" s="158"/>
      <c r="E284" s="158"/>
      <c r="F284" s="158"/>
      <c r="G284" s="158"/>
      <c r="H284" s="158"/>
      <c r="I284" s="158"/>
      <c r="J284" s="158"/>
      <c r="K284" s="158"/>
      <c r="L284" s="159"/>
      <c r="M284" s="158"/>
      <c r="N284" s="158"/>
      <c r="O284" s="158"/>
    </row>
    <row r="285" spans="2:15" s="379" customFormat="1" ht="12.75" hidden="1" customHeight="1">
      <c r="B285" s="165"/>
      <c r="C285" s="158"/>
      <c r="D285" s="158"/>
      <c r="E285" s="158"/>
      <c r="F285" s="158"/>
      <c r="G285" s="158"/>
      <c r="H285" s="158"/>
      <c r="I285" s="158"/>
      <c r="J285" s="158"/>
      <c r="K285" s="158"/>
      <c r="L285" s="159"/>
      <c r="M285" s="158"/>
      <c r="N285" s="158"/>
      <c r="O285" s="158"/>
    </row>
    <row r="286" spans="2:15" s="379" customFormat="1" ht="0" hidden="1" customHeight="1">
      <c r="B286" s="165"/>
      <c r="C286" s="158"/>
      <c r="D286" s="158"/>
      <c r="E286" s="158"/>
      <c r="F286" s="158"/>
      <c r="G286" s="158"/>
      <c r="H286" s="158"/>
      <c r="I286" s="158"/>
      <c r="J286" s="158"/>
      <c r="K286" s="158"/>
      <c r="L286" s="159"/>
      <c r="M286" s="158"/>
      <c r="N286" s="158"/>
      <c r="O286" s="158"/>
    </row>
    <row r="287" spans="2:15" s="379" customFormat="1" ht="0" hidden="1" customHeight="1">
      <c r="B287" s="165"/>
      <c r="C287" s="158"/>
      <c r="D287" s="158"/>
      <c r="E287" s="158"/>
      <c r="F287" s="158"/>
      <c r="G287" s="158"/>
      <c r="H287" s="158"/>
      <c r="I287" s="158"/>
      <c r="J287" s="158"/>
      <c r="K287" s="158"/>
      <c r="L287" s="159"/>
      <c r="M287" s="158"/>
      <c r="N287" s="158"/>
      <c r="O287" s="158"/>
    </row>
  </sheetData>
  <sheetProtection sheet="1" formatRows="0"/>
  <mergeCells count="132">
    <mergeCell ref="K2:K8"/>
    <mergeCell ref="B3:F3"/>
    <mergeCell ref="G3:H3"/>
    <mergeCell ref="I3:J3"/>
    <mergeCell ref="B5:E5"/>
    <mergeCell ref="G5:H5"/>
    <mergeCell ref="I5:J5"/>
    <mergeCell ref="F23:H23"/>
    <mergeCell ref="B6:E6"/>
    <mergeCell ref="F6:J6"/>
    <mergeCell ref="B7:E7"/>
    <mergeCell ref="F7:J7"/>
    <mergeCell ref="B8:E8"/>
    <mergeCell ref="F8:J8"/>
    <mergeCell ref="B2:F2"/>
    <mergeCell ref="G2:H2"/>
    <mergeCell ref="I2:J2"/>
    <mergeCell ref="E27:H27"/>
    <mergeCell ref="E28:G28"/>
    <mergeCell ref="E29:G29"/>
    <mergeCell ref="E30:H30"/>
    <mergeCell ref="E31:G31"/>
    <mergeCell ref="B10:F10"/>
    <mergeCell ref="D13:J13"/>
    <mergeCell ref="D14:J14"/>
    <mergeCell ref="E17:G17"/>
    <mergeCell ref="E18:G18"/>
    <mergeCell ref="E19:H19"/>
    <mergeCell ref="E38:G38"/>
    <mergeCell ref="E39:H39"/>
    <mergeCell ref="E40:G40"/>
    <mergeCell ref="E41:G41"/>
    <mergeCell ref="E42:H42"/>
    <mergeCell ref="E43:G43"/>
    <mergeCell ref="E32:G32"/>
    <mergeCell ref="E33:H33"/>
    <mergeCell ref="F34:H34"/>
    <mergeCell ref="F35:H35"/>
    <mergeCell ref="F36:H36"/>
    <mergeCell ref="E37:G37"/>
    <mergeCell ref="E52:H52"/>
    <mergeCell ref="E53:H53"/>
    <mergeCell ref="E54:H54"/>
    <mergeCell ref="E55:H55"/>
    <mergeCell ref="E56:H56"/>
    <mergeCell ref="F57:H57"/>
    <mergeCell ref="E44:G44"/>
    <mergeCell ref="E45:H45"/>
    <mergeCell ref="B46:H46"/>
    <mergeCell ref="E49:G49"/>
    <mergeCell ref="E50:G50"/>
    <mergeCell ref="E51:H51"/>
    <mergeCell ref="F64:H64"/>
    <mergeCell ref="F65:H65"/>
    <mergeCell ref="F66:H66"/>
    <mergeCell ref="E67:G67"/>
    <mergeCell ref="E68:G68"/>
    <mergeCell ref="E69:H69"/>
    <mergeCell ref="F58:H58"/>
    <mergeCell ref="F59:H59"/>
    <mergeCell ref="F60:H60"/>
    <mergeCell ref="F61:H61"/>
    <mergeCell ref="F62:H62"/>
    <mergeCell ref="F63:H63"/>
    <mergeCell ref="E77:G77"/>
    <mergeCell ref="E78:G78"/>
    <mergeCell ref="E79:H79"/>
    <mergeCell ref="F80:H80"/>
    <mergeCell ref="F81:H81"/>
    <mergeCell ref="E82:G82"/>
    <mergeCell ref="E70:G70"/>
    <mergeCell ref="E71:H71"/>
    <mergeCell ref="E72:G72"/>
    <mergeCell ref="E73:H73"/>
    <mergeCell ref="C74:E74"/>
    <mergeCell ref="F74:H74"/>
    <mergeCell ref="E89:G89"/>
    <mergeCell ref="E90:H90"/>
    <mergeCell ref="E91:H91"/>
    <mergeCell ref="E92:G92"/>
    <mergeCell ref="E93:G93"/>
    <mergeCell ref="E94:H94"/>
    <mergeCell ref="E83:G83"/>
    <mergeCell ref="E84:H84"/>
    <mergeCell ref="F85:H85"/>
    <mergeCell ref="F86:H86"/>
    <mergeCell ref="F87:H87"/>
    <mergeCell ref="E88:G88"/>
    <mergeCell ref="E101:H101"/>
    <mergeCell ref="E102:G102"/>
    <mergeCell ref="E103:G103"/>
    <mergeCell ref="E104:H104"/>
    <mergeCell ref="E105:H105"/>
    <mergeCell ref="E106:G106"/>
    <mergeCell ref="E95:H95"/>
    <mergeCell ref="F96:H96"/>
    <mergeCell ref="F97:H97"/>
    <mergeCell ref="F98:H98"/>
    <mergeCell ref="F99:H99"/>
    <mergeCell ref="F100:H100"/>
    <mergeCell ref="E113:G113"/>
    <mergeCell ref="E114:G114"/>
    <mergeCell ref="E115:H115"/>
    <mergeCell ref="E116:H116"/>
    <mergeCell ref="E117:H117"/>
    <mergeCell ref="E118:H118"/>
    <mergeCell ref="E107:G107"/>
    <mergeCell ref="E108:H108"/>
    <mergeCell ref="E109:H109"/>
    <mergeCell ref="E110:G110"/>
    <mergeCell ref="E111:G111"/>
    <mergeCell ref="E112:H112"/>
    <mergeCell ref="B125:H125"/>
    <mergeCell ref="E128:G128"/>
    <mergeCell ref="E129:G129"/>
    <mergeCell ref="E130:H130"/>
    <mergeCell ref="E131:H131"/>
    <mergeCell ref="E119:G119"/>
    <mergeCell ref="E120:G120"/>
    <mergeCell ref="E121:H121"/>
    <mergeCell ref="E122:G122"/>
    <mergeCell ref="E123:G123"/>
    <mergeCell ref="B142:H142"/>
    <mergeCell ref="F138:H138"/>
    <mergeCell ref="E139:H139"/>
    <mergeCell ref="B140:H140"/>
    <mergeCell ref="E132:H132"/>
    <mergeCell ref="F133:H133"/>
    <mergeCell ref="F134:H134"/>
    <mergeCell ref="F135:H135"/>
    <mergeCell ref="F136:H136"/>
    <mergeCell ref="F137:H137"/>
  </mergeCells>
  <conditionalFormatting sqref="D13:J13">
    <cfRule type="expression" dxfId="356" priority="78">
      <formula>$L$13</formula>
    </cfRule>
  </conditionalFormatting>
  <conditionalFormatting sqref="D14:J14">
    <cfRule type="expression" dxfId="355" priority="77">
      <formula>$L$14</formula>
    </cfRule>
  </conditionalFormatting>
  <conditionalFormatting sqref="F124">
    <cfRule type="expression" dxfId="350" priority="2026">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47" max="10" man="1"/>
    <brk id="74" max="10" man="1"/>
    <brk id="12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ltText="">
                <anchor moveWithCells="1">
                  <from>
                    <xdr:col>1</xdr:col>
                    <xdr:colOff>0</xdr:colOff>
                    <xdr:row>16</xdr:row>
                    <xdr:rowOff>0</xdr:rowOff>
                  </from>
                  <to>
                    <xdr:col>2</xdr:col>
                    <xdr:colOff>0</xdr:colOff>
                    <xdr:row>17</xdr:row>
                    <xdr:rowOff>12700</xdr:rowOff>
                  </to>
                </anchor>
              </controlPr>
            </control>
          </mc:Choice>
        </mc:AlternateContent>
        <mc:AlternateContent xmlns:mc="http://schemas.openxmlformats.org/markup-compatibility/2006">
          <mc:Choice Requires="x14">
            <control shapeId="77826" r:id="rId5" name="Check Box 2">
              <controlPr defaultSize="0" autoFill="0" autoLine="0" autoPict="0" altText="">
                <anchor moveWithCells="1">
                  <from>
                    <xdr:col>1</xdr:col>
                    <xdr:colOff>0</xdr:colOff>
                    <xdr:row>27</xdr:row>
                    <xdr:rowOff>0</xdr:rowOff>
                  </from>
                  <to>
                    <xdr:col>2</xdr:col>
                    <xdr:colOff>0</xdr:colOff>
                    <xdr:row>28</xdr:row>
                    <xdr:rowOff>12700</xdr:rowOff>
                  </to>
                </anchor>
              </controlPr>
            </control>
          </mc:Choice>
        </mc:AlternateContent>
        <mc:AlternateContent xmlns:mc="http://schemas.openxmlformats.org/markup-compatibility/2006">
          <mc:Choice Requires="x14">
            <control shapeId="77827" r:id="rId6" name="Check Box 3">
              <controlPr defaultSize="0" autoFill="0" autoLine="0" autoPict="0" altText="">
                <anchor moveWithCells="1">
                  <from>
                    <xdr:col>1</xdr:col>
                    <xdr:colOff>0</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ltText="">
                <anchor moveWithCells="1">
                  <from>
                    <xdr:col>1</xdr:col>
                    <xdr:colOff>0</xdr:colOff>
                    <xdr:row>42</xdr:row>
                    <xdr:rowOff>0</xdr:rowOff>
                  </from>
                  <to>
                    <xdr:col>2</xdr:col>
                    <xdr:colOff>0</xdr:colOff>
                    <xdr:row>43</xdr:row>
                    <xdr:rowOff>12700</xdr:rowOff>
                  </to>
                </anchor>
              </controlPr>
            </control>
          </mc:Choice>
        </mc:AlternateContent>
        <mc:AlternateContent xmlns:mc="http://schemas.openxmlformats.org/markup-compatibility/2006">
          <mc:Choice Requires="x14">
            <control shapeId="77829" r:id="rId8" name="Check Box 5">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ltText="">
                <anchor moveWithCells="1">
                  <from>
                    <xdr:col>1</xdr:col>
                    <xdr:colOff>0</xdr:colOff>
                    <xdr:row>66</xdr:row>
                    <xdr:rowOff>0</xdr:rowOff>
                  </from>
                  <to>
                    <xdr:col>2</xdr:col>
                    <xdr:colOff>0</xdr:colOff>
                    <xdr:row>67</xdr:row>
                    <xdr:rowOff>12700</xdr:rowOff>
                  </to>
                </anchor>
              </controlPr>
            </control>
          </mc:Choice>
        </mc:AlternateContent>
        <mc:AlternateContent xmlns:mc="http://schemas.openxmlformats.org/markup-compatibility/2006">
          <mc:Choice Requires="x14">
            <control shapeId="77831" r:id="rId10" name="Check Box 7">
              <controlPr defaultSize="0" autoFill="0" autoLine="0" autoPict="0" altText="">
                <anchor moveWithCells="1">
                  <from>
                    <xdr:col>1</xdr:col>
                    <xdr:colOff>0</xdr:colOff>
                    <xdr:row>81</xdr:row>
                    <xdr:rowOff>0</xdr:rowOff>
                  </from>
                  <to>
                    <xdr:col>2</xdr:col>
                    <xdr:colOff>0</xdr:colOff>
                    <xdr:row>82</xdr:row>
                    <xdr:rowOff>12700</xdr:rowOff>
                  </to>
                </anchor>
              </controlPr>
            </control>
          </mc:Choice>
        </mc:AlternateContent>
        <mc:AlternateContent xmlns:mc="http://schemas.openxmlformats.org/markup-compatibility/2006">
          <mc:Choice Requires="x14">
            <control shapeId="77832" r:id="rId11" name="Check Box 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77833" r:id="rId12" name="Check Box 9">
              <controlPr defaultSize="0" autoFill="0" autoLine="0" autoPict="0" altText="">
                <anchor moveWithCells="1">
                  <from>
                    <xdr:col>1</xdr:col>
                    <xdr:colOff>0</xdr:colOff>
                    <xdr:row>109</xdr:row>
                    <xdr:rowOff>0</xdr:rowOff>
                  </from>
                  <to>
                    <xdr:col>2</xdr:col>
                    <xdr:colOff>0</xdr:colOff>
                    <xdr:row>110</xdr:row>
                    <xdr:rowOff>12700</xdr:rowOff>
                  </to>
                </anchor>
              </controlPr>
            </control>
          </mc:Choice>
        </mc:AlternateContent>
        <mc:AlternateContent xmlns:mc="http://schemas.openxmlformats.org/markup-compatibility/2006">
          <mc:Choice Requires="x14">
            <control shapeId="77834" r:id="rId13" name="Check Box 10">
              <controlPr defaultSize="0" autoFill="0" autoLine="0" autoPict="0" altText="">
                <anchor moveWithCells="1">
                  <from>
                    <xdr:col>1</xdr:col>
                    <xdr:colOff>0</xdr:colOff>
                    <xdr:row>112</xdr:row>
                    <xdr:rowOff>0</xdr:rowOff>
                  </from>
                  <to>
                    <xdr:col>2</xdr:col>
                    <xdr:colOff>0</xdr:colOff>
                    <xdr:row>113</xdr:row>
                    <xdr:rowOff>12700</xdr:rowOff>
                  </to>
                </anchor>
              </controlPr>
            </control>
          </mc:Choice>
        </mc:AlternateContent>
        <mc:AlternateContent xmlns:mc="http://schemas.openxmlformats.org/markup-compatibility/2006">
          <mc:Choice Requires="x14">
            <control shapeId="77835" r:id="rId14" name="Check Box 11">
              <controlPr defaultSize="0" autoFill="0" autoLine="0" autoPict="0" altText="">
                <anchor moveWithCells="1">
                  <from>
                    <xdr:col>1</xdr:col>
                    <xdr:colOff>0</xdr:colOff>
                    <xdr:row>118</xdr:row>
                    <xdr:rowOff>0</xdr:rowOff>
                  </from>
                  <to>
                    <xdr:col>2</xdr:col>
                    <xdr:colOff>0</xdr:colOff>
                    <xdr:row>119</xdr:row>
                    <xdr:rowOff>12700</xdr:rowOff>
                  </to>
                </anchor>
              </controlPr>
            </control>
          </mc:Choice>
        </mc:AlternateContent>
        <mc:AlternateContent xmlns:mc="http://schemas.openxmlformats.org/markup-compatibility/2006">
          <mc:Choice Requires="x14">
            <control shapeId="77836" r:id="rId15" name="Check Box 12">
              <controlPr defaultSize="0" autoFill="0" autoLine="0" autoPict="0" altText="3 Fahrstreifen">
                <anchor moveWithCells="1">
                  <from>
                    <xdr:col>1</xdr:col>
                    <xdr:colOff>0</xdr:colOff>
                    <xdr:row>121</xdr:row>
                    <xdr:rowOff>0</xdr:rowOff>
                  </from>
                  <to>
                    <xdr:col>2</xdr:col>
                    <xdr:colOff>0</xdr:colOff>
                    <xdr:row>122</xdr:row>
                    <xdr:rowOff>12700</xdr:rowOff>
                  </to>
                </anchor>
              </controlPr>
            </control>
          </mc:Choice>
        </mc:AlternateContent>
        <mc:AlternateContent xmlns:mc="http://schemas.openxmlformats.org/markup-compatibility/2006">
          <mc:Choice Requires="x14">
            <control shapeId="77867" r:id="rId16" name="Check Box 43">
              <controlPr defaultSize="0" autoFill="0" autoLine="0" autoPict="0" altText="">
                <anchor moveWithCells="1">
                  <from>
                    <xdr:col>1</xdr:col>
                    <xdr:colOff>0</xdr:colOff>
                    <xdr:row>127</xdr:row>
                    <xdr:rowOff>0</xdr:rowOff>
                  </from>
                  <to>
                    <xdr:col>2</xdr:col>
                    <xdr:colOff>0</xdr:colOff>
                    <xdr:row>127</xdr:row>
                    <xdr:rowOff>209550</xdr:rowOff>
                  </to>
                </anchor>
              </controlPr>
            </control>
          </mc:Choice>
        </mc:AlternateContent>
        <mc:AlternateContent xmlns:mc="http://schemas.openxmlformats.org/markup-compatibility/2006">
          <mc:Choice Requires="x14">
            <control shapeId="77868" r:id="rId17" name="Check Box 44">
              <controlPr defaultSize="0" autoFill="0" autoLine="0" autoPict="0" altText="3 Fahrstreifen">
                <anchor moveWithCells="1">
                  <from>
                    <xdr:col>1</xdr:col>
                    <xdr:colOff>0</xdr:colOff>
                    <xdr:row>76</xdr:row>
                    <xdr:rowOff>0</xdr:rowOff>
                  </from>
                  <to>
                    <xdr:col>2</xdr:col>
                    <xdr:colOff>0</xdr:colOff>
                    <xdr:row>77</xdr:row>
                    <xdr:rowOff>12700</xdr:rowOff>
                  </to>
                </anchor>
              </controlPr>
            </control>
          </mc:Choice>
        </mc:AlternateContent>
        <mc:AlternateContent xmlns:mc="http://schemas.openxmlformats.org/markup-compatibility/2006">
          <mc:Choice Requires="x14">
            <control shapeId="77869" r:id="rId18" name="Check Box 45">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77870" r:id="rId19" name="Check Box 4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77871" r:id="rId20" name="Check Box 47">
              <controlPr defaultSize="0" autoFill="0" autoLine="0" autoPict="0" altText="">
                <anchor moveWithCells="1">
                  <from>
                    <xdr:col>1</xdr:col>
                    <xdr:colOff>0</xdr:colOff>
                    <xdr:row>30</xdr:row>
                    <xdr:rowOff>0</xdr:rowOff>
                  </from>
                  <to>
                    <xdr:col>2</xdr:col>
                    <xdr:colOff>0</xdr:colOff>
                    <xdr:row>31</xdr:row>
                    <xdr:rowOff>12700</xdr:rowOff>
                  </to>
                </anchor>
              </controlPr>
            </control>
          </mc:Choice>
        </mc:AlternateContent>
        <mc:AlternateContent xmlns:mc="http://schemas.openxmlformats.org/markup-compatibility/2006">
          <mc:Choice Requires="x14">
            <control shapeId="77875" r:id="rId21" name="Check Box 51">
              <controlPr defaultSize="0" autoFill="0" autoLine="0" autoPict="0" altText="">
                <anchor moveWithCells="1">
                  <from>
                    <xdr:col>1</xdr:col>
                    <xdr:colOff>0</xdr:colOff>
                    <xdr:row>42</xdr:row>
                    <xdr:rowOff>0</xdr:rowOff>
                  </from>
                  <to>
                    <xdr:col>2</xdr:col>
                    <xdr:colOff>0</xdr:colOff>
                    <xdr:row>43</xdr:row>
                    <xdr:rowOff>12700</xdr:rowOff>
                  </to>
                </anchor>
              </controlPr>
            </control>
          </mc:Choice>
        </mc:AlternateContent>
        <mc:AlternateContent xmlns:mc="http://schemas.openxmlformats.org/markup-compatibility/2006">
          <mc:Choice Requires="x14">
            <control shapeId="77876" r:id="rId22" name="Check Box 52">
              <controlPr defaultSize="0" autoFill="0" autoLine="0" autoPict="0" altText="">
                <anchor moveWithCells="1">
                  <from>
                    <xdr:col>1</xdr:col>
                    <xdr:colOff>0</xdr:colOff>
                    <xdr:row>42</xdr:row>
                    <xdr:rowOff>0</xdr:rowOff>
                  </from>
                  <to>
                    <xdr:col>2</xdr:col>
                    <xdr:colOff>0</xdr:colOff>
                    <xdr:row>43</xdr:row>
                    <xdr:rowOff>12700</xdr:rowOff>
                  </to>
                </anchor>
              </controlPr>
            </control>
          </mc:Choice>
        </mc:AlternateContent>
        <mc:AlternateContent xmlns:mc="http://schemas.openxmlformats.org/markup-compatibility/2006">
          <mc:Choice Requires="x14">
            <control shapeId="77884" r:id="rId23" name="Check Box 60">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77885" r:id="rId24" name="Check Box 61">
              <controlPr defaultSize="0" autoFill="0" autoLine="0" autoPict="0" altText="">
                <anchor moveWithCells="1">
                  <from>
                    <xdr:col>1</xdr:col>
                    <xdr:colOff>0</xdr:colOff>
                    <xdr:row>91</xdr:row>
                    <xdr:rowOff>0</xdr:rowOff>
                  </from>
                  <to>
                    <xdr:col>2</xdr:col>
                    <xdr:colOff>0</xdr:colOff>
                    <xdr:row>92</xdr:row>
                    <xdr:rowOff>12700</xdr:rowOff>
                  </to>
                </anchor>
              </controlPr>
            </control>
          </mc:Choice>
        </mc:AlternateContent>
        <mc:AlternateContent xmlns:mc="http://schemas.openxmlformats.org/markup-compatibility/2006">
          <mc:Choice Requires="x14">
            <control shapeId="77886" r:id="rId25" name="Check Box 62">
              <controlPr defaultSize="0" autoFill="0" autoLine="0" autoPict="0" altText="">
                <anchor moveWithCells="1">
                  <from>
                    <xdr:col>1</xdr:col>
                    <xdr:colOff>0</xdr:colOff>
                    <xdr:row>101</xdr:row>
                    <xdr:rowOff>0</xdr:rowOff>
                  </from>
                  <to>
                    <xdr:col>2</xdr:col>
                    <xdr:colOff>0</xdr:colOff>
                    <xdr:row>102</xdr:row>
                    <xdr:rowOff>12700</xdr:rowOff>
                  </to>
                </anchor>
              </controlPr>
            </control>
          </mc:Choice>
        </mc:AlternateContent>
        <mc:AlternateContent xmlns:mc="http://schemas.openxmlformats.org/markup-compatibility/2006">
          <mc:Choice Requires="x14">
            <control shapeId="77887" r:id="rId26" name="Check Box 63">
              <controlPr defaultSize="0" autoFill="0" autoLine="0" autoPict="0" altText="">
                <anchor moveWithCells="1">
                  <from>
                    <xdr:col>1</xdr:col>
                    <xdr:colOff>0</xdr:colOff>
                    <xdr:row>105</xdr:row>
                    <xdr:rowOff>0</xdr:rowOff>
                  </from>
                  <to>
                    <xdr:col>2</xdr:col>
                    <xdr:colOff>0</xdr:colOff>
                    <xdr:row>106</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2" id="{50A72830-EC22-47D4-AFCD-A98C4719BDD6}">
            <xm:f>NOT(Projektgrundlagen!$I$27)</xm:f>
            <x14:dxf>
              <font>
                <strike/>
                <color theme="0" tint="-0.14996795556505021"/>
              </font>
              <fill>
                <patternFill>
                  <bgColor theme="0"/>
                </patternFill>
              </fill>
            </x14:dxf>
          </x14:cfRule>
          <xm:sqref>B31:B32</xm:sqref>
        </x14:conditionalFormatting>
        <x14:conditionalFormatting xmlns:xm="http://schemas.microsoft.com/office/excel/2006/main">
          <x14:cfRule type="expression" priority="76" id="{85061F6B-87C9-4A17-9462-4A6EB5609B43}">
            <xm:f>NOT(Projektgrundlagen!$I$27)</xm:f>
            <x14:dxf>
              <font>
                <strike/>
                <color theme="0" tint="-0.14996795556505021"/>
              </font>
              <fill>
                <patternFill>
                  <bgColor theme="0"/>
                </patternFill>
              </fill>
            </x14:dxf>
          </x14:cfRule>
          <xm:sqref>B37:B38</xm:sqref>
        </x14:conditionalFormatting>
        <x14:conditionalFormatting xmlns:xm="http://schemas.microsoft.com/office/excel/2006/main">
          <x14:cfRule type="expression" priority="144" id="{6B2177ED-C407-45CF-ADBD-670774E10AE0}">
            <xm:f>NOT(Projektgrundlagen!$I$27)</xm:f>
            <x14:dxf>
              <font>
                <strike/>
                <color theme="0" tint="-0.14996795556505021"/>
              </font>
              <fill>
                <patternFill>
                  <bgColor theme="0"/>
                </patternFill>
              </fill>
            </x14:dxf>
          </x14:cfRule>
          <xm:sqref>B40:B45</xm:sqref>
        </x14:conditionalFormatting>
        <x14:conditionalFormatting xmlns:xm="http://schemas.microsoft.com/office/excel/2006/main">
          <x14:cfRule type="expression" priority="68" id="{B317D8DF-8A7F-4932-B101-CFB37AD89CC5}">
            <xm:f>NOT(Projektgrundlagen!$I$27)</xm:f>
            <x14:dxf>
              <font>
                <strike/>
                <color theme="0" tint="-0.14996795556505021"/>
              </font>
              <fill>
                <patternFill>
                  <bgColor theme="0"/>
                </patternFill>
              </fill>
            </x14:dxf>
          </x14:cfRule>
          <xm:sqref>B33:C36</xm:sqref>
        </x14:conditionalFormatting>
        <x14:conditionalFormatting xmlns:xm="http://schemas.microsoft.com/office/excel/2006/main">
          <x14:cfRule type="expression" priority="66" id="{459B0005-3201-4D19-8A12-7BC46AE78381}">
            <xm:f>NOT(Projektgrundlagen!$I$27)</xm:f>
            <x14:dxf>
              <font>
                <strike/>
                <color theme="0" tint="-0.14996795556505021"/>
              </font>
              <fill>
                <patternFill>
                  <bgColor theme="0"/>
                </patternFill>
              </fill>
            </x14:dxf>
          </x14:cfRule>
          <xm:sqref>B20:D26</xm:sqref>
        </x14:conditionalFormatting>
        <x14:conditionalFormatting xmlns:xm="http://schemas.microsoft.com/office/excel/2006/main">
          <x14:cfRule type="expression" priority="64" id="{86DB3132-9E78-4115-A030-10A383F1709D}">
            <xm:f>NOT(Projektgrundlagen!$I$27)</xm:f>
            <x14:dxf>
              <font>
                <strike/>
                <color theme="0" tint="-0.14996795556505021"/>
              </font>
              <fill>
                <patternFill>
                  <bgColor theme="0"/>
                </patternFill>
              </fill>
            </x14:dxf>
          </x14:cfRule>
          <xm:sqref>B49:E56</xm:sqref>
        </x14:conditionalFormatting>
        <x14:conditionalFormatting xmlns:xm="http://schemas.microsoft.com/office/excel/2006/main">
          <x14:cfRule type="expression" priority="48" id="{01592FC1-B72F-400A-9CAC-D3187D18B9ED}">
            <xm:f>NOT(Projektgrundlagen!$I$27)</xm:f>
            <x14:dxf>
              <font>
                <strike/>
                <color theme="0" tint="-0.14996795556505021"/>
              </font>
              <fill>
                <patternFill>
                  <bgColor theme="0"/>
                </patternFill>
              </fill>
            </x14:dxf>
          </x14:cfRule>
          <xm:sqref>B82:E84</xm:sqref>
        </x14:conditionalFormatting>
        <x14:conditionalFormatting xmlns:xm="http://schemas.microsoft.com/office/excel/2006/main">
          <x14:cfRule type="expression" priority="37" id="{3775A791-5A33-4BD0-9C19-1F226665AE8D}">
            <xm:f>NOT(Projektgrundlagen!$I$27)</xm:f>
            <x14:dxf>
              <font>
                <strike/>
                <color theme="0" tint="-0.14996795556505021"/>
              </font>
              <fill>
                <patternFill>
                  <bgColor theme="0"/>
                </patternFill>
              </fill>
            </x14:dxf>
          </x14:cfRule>
          <xm:sqref>B88:E95</xm:sqref>
        </x14:conditionalFormatting>
        <x14:conditionalFormatting xmlns:xm="http://schemas.microsoft.com/office/excel/2006/main">
          <x14:cfRule type="expression" priority="11" id="{6517442D-A5A6-4E5F-9166-D33F8FD120CF}">
            <xm:f>NOT(Projektgrundlagen!$I$27)</xm:f>
            <x14:dxf>
              <font>
                <strike/>
                <color theme="0" tint="-0.14996795556505021"/>
              </font>
              <fill>
                <patternFill>
                  <bgColor theme="0"/>
                </patternFill>
              </fill>
            </x14:dxf>
          </x14:cfRule>
          <xm:sqref>B128:E132</xm:sqref>
        </x14:conditionalFormatting>
        <x14:conditionalFormatting xmlns:xm="http://schemas.microsoft.com/office/excel/2006/main">
          <x14:cfRule type="expression" priority="5" id="{7949FC6E-8BC6-47D8-AFB3-F2AFB974F6FA}">
            <xm:f>NOT(Projektgrundlagen!$I$27)</xm:f>
            <x14:dxf>
              <font>
                <strike/>
                <color theme="0" tint="-0.14996795556505021"/>
              </font>
              <fill>
                <patternFill>
                  <bgColor theme="0"/>
                </patternFill>
              </fill>
            </x14:dxf>
          </x14:cfRule>
          <xm:sqref>B57:F66</xm:sqref>
        </x14:conditionalFormatting>
        <x14:conditionalFormatting xmlns:xm="http://schemas.microsoft.com/office/excel/2006/main">
          <x14:cfRule type="expression" priority="4" id="{0A347A84-0AF8-4A7D-B207-D9FB846DA3BD}">
            <xm:f>NOT(Projektgrundlagen!$I$27)</xm:f>
            <x14:dxf>
              <font>
                <strike/>
                <color theme="0" tint="-0.14996795556505021"/>
              </font>
              <fill>
                <patternFill>
                  <bgColor theme="0"/>
                </patternFill>
              </fill>
            </x14:dxf>
          </x14:cfRule>
          <xm:sqref>B80:F81</xm:sqref>
        </x14:conditionalFormatting>
        <x14:conditionalFormatting xmlns:xm="http://schemas.microsoft.com/office/excel/2006/main">
          <x14:cfRule type="expression" priority="3" id="{931943D8-C78C-4565-959F-216134CA3C22}">
            <xm:f>NOT(Projektgrundlagen!$I$27)</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2" id="{4362CB87-8D05-4E5B-8EFB-A0CE99CD9A59}">
            <xm:f>NOT(Projektgrundlagen!$I$27)</xm:f>
            <x14:dxf>
              <font>
                <strike/>
                <color theme="0" tint="-0.14996795556505021"/>
              </font>
              <fill>
                <patternFill>
                  <bgColor theme="0"/>
                </patternFill>
              </fill>
            </x14:dxf>
          </x14:cfRule>
          <xm:sqref>B96:F100</xm:sqref>
        </x14:conditionalFormatting>
        <x14:conditionalFormatting xmlns:xm="http://schemas.microsoft.com/office/excel/2006/main">
          <x14:cfRule type="expression" priority="1" id="{74C7A1F3-B3FE-4530-A873-2C3A8C2065EF}">
            <xm:f>NOT(Projektgrundlagen!$I$27)</xm:f>
            <x14:dxf>
              <font>
                <strike/>
                <color theme="0" tint="-0.14996795556505021"/>
              </font>
              <fill>
                <patternFill>
                  <bgColor theme="0"/>
                </patternFill>
              </fill>
            </x14:dxf>
          </x14:cfRule>
          <xm:sqref>B133:F138</xm:sqref>
        </x14:conditionalFormatting>
        <x14:conditionalFormatting xmlns:xm="http://schemas.microsoft.com/office/excel/2006/main">
          <x14:cfRule type="expression" priority="303" id="{1C483E5D-F3C8-4046-924F-D35EC4F31D8E}">
            <xm:f>NOT(Projektgrundlagen!$I$27)</xm:f>
            <x14:dxf>
              <font>
                <strike/>
                <color theme="0" tint="-0.14996795556505021"/>
              </font>
              <fill>
                <patternFill>
                  <bgColor theme="0"/>
                </patternFill>
              </fill>
            </x14:dxf>
          </x14:cfRule>
          <xm:sqref>C32:D32</xm:sqref>
        </x14:conditionalFormatting>
        <x14:conditionalFormatting xmlns:xm="http://schemas.microsoft.com/office/excel/2006/main">
          <x14:cfRule type="expression" priority="75" id="{B6216D5C-C777-4629-99B0-B81FEDF220B8}">
            <xm:f>NOT(Projektgrundlagen!$I$27)</xm:f>
            <x14:dxf>
              <font>
                <strike/>
                <color theme="0" tint="-0.14996795556505021"/>
              </font>
              <fill>
                <patternFill>
                  <bgColor theme="0"/>
                </patternFill>
              </fill>
            </x14:dxf>
          </x14:cfRule>
          <xm:sqref>C38:D38</xm:sqref>
        </x14:conditionalFormatting>
        <x14:conditionalFormatting xmlns:xm="http://schemas.microsoft.com/office/excel/2006/main">
          <x14:cfRule type="expression" priority="305" id="{405C8B35-627F-4F9F-A96B-C419D22605CA}">
            <xm:f>NOT(Projektgrundlagen!$I$27)</xm:f>
            <x14:dxf>
              <font>
                <strike/>
                <color theme="0" tint="-0.14996795556505021"/>
              </font>
              <fill>
                <patternFill>
                  <bgColor theme="0"/>
                </patternFill>
              </fill>
            </x14:dxf>
          </x14:cfRule>
          <xm:sqref>C41:D41</xm:sqref>
        </x14:conditionalFormatting>
        <x14:conditionalFormatting xmlns:xm="http://schemas.microsoft.com/office/excel/2006/main">
          <x14:cfRule type="expression" priority="297" id="{034C4E3F-F67C-4393-857C-90E38039D7A5}">
            <xm:f>NOT(Projektgrundlagen!$I$27)</xm:f>
            <x14:dxf>
              <font>
                <strike/>
                <color theme="0" tint="-0.14996795556505021"/>
              </font>
              <fill>
                <patternFill>
                  <bgColor theme="0"/>
                </patternFill>
              </fill>
            </x14:dxf>
          </x14:cfRule>
          <xm:sqref>C68:D68</xm:sqref>
        </x14:conditionalFormatting>
        <x14:conditionalFormatting xmlns:xm="http://schemas.microsoft.com/office/excel/2006/main">
          <x14:cfRule type="expression" priority="343" id="{A6759A5F-38AD-4736-9463-BC94849ACB9B}">
            <xm:f>NOT(Projektgrundlagen!$I$27)</xm:f>
            <x14:dxf>
              <font>
                <strike/>
                <color theme="0" tint="-0.14996795556505021"/>
              </font>
              <fill>
                <patternFill>
                  <bgColor theme="0"/>
                </patternFill>
              </fill>
            </x14:dxf>
          </x14:cfRule>
          <xm:sqref>C123:D123</xm:sqref>
        </x14:conditionalFormatting>
        <x14:conditionalFormatting xmlns:xm="http://schemas.microsoft.com/office/excel/2006/main">
          <x14:cfRule type="expression" priority="71" id="{9BDB0ABB-A9A5-404E-8973-BFB98E9D3994}">
            <xm:f>NOT(Projektgrundlagen!$I$27)</xm:f>
            <x14:dxf>
              <font>
                <strike/>
                <color theme="0" tint="-0.14996795556505021"/>
              </font>
              <fill>
                <patternFill>
                  <bgColor theme="0"/>
                </patternFill>
              </fill>
            </x14:dxf>
          </x14:cfRule>
          <xm:sqref>C37:E37 H37:H38 E38:E39 B39:C39</xm:sqref>
        </x14:conditionalFormatting>
        <x14:conditionalFormatting xmlns:xm="http://schemas.microsoft.com/office/excel/2006/main">
          <x14:cfRule type="expression" priority="70" id="{199894EA-AB7C-488F-8F3D-F86B5D369633}">
            <xm:f>NOT(Projektgrundlagen!$I$27)</xm:f>
            <x14:dxf>
              <font>
                <strike/>
                <color theme="0" tint="-0.14996795556505021"/>
              </font>
              <fill>
                <patternFill>
                  <bgColor theme="0"/>
                </patternFill>
              </fill>
            </x14:dxf>
          </x14:cfRule>
          <xm:sqref>C43:E45</xm:sqref>
        </x14:conditionalFormatting>
        <x14:conditionalFormatting xmlns:xm="http://schemas.microsoft.com/office/excel/2006/main">
          <x14:cfRule type="expression" priority="287" id="{C4FC6C60-84C3-49AE-B410-3BD70C427C23}">
            <xm:f>NOT(Projektgrundlagen!$I$27)</xm:f>
            <x14:dxf>
              <font>
                <strike/>
                <color theme="0" tint="-0.14996795556505021"/>
              </font>
              <fill>
                <patternFill>
                  <bgColor theme="0"/>
                </patternFill>
              </fill>
            </x14:dxf>
          </x14:cfRule>
          <xm:sqref>C67:E67</xm:sqref>
        </x14:conditionalFormatting>
        <x14:conditionalFormatting xmlns:xm="http://schemas.microsoft.com/office/excel/2006/main">
          <x14:cfRule type="expression" priority="69" id="{3C7F09B4-277E-4B15-9C27-8278171F82E0}">
            <xm:f>NOT(Projektgrundlagen!$I$27)</xm:f>
            <x14:dxf>
              <font>
                <strike/>
                <color theme="0" tint="-0.14996795556505021"/>
              </font>
              <fill>
                <patternFill>
                  <bgColor theme="0"/>
                </patternFill>
              </fill>
            </x14:dxf>
          </x14:cfRule>
          <xm:sqref>E32:E33</xm:sqref>
        </x14:conditionalFormatting>
        <x14:conditionalFormatting xmlns:xm="http://schemas.microsoft.com/office/excel/2006/main">
          <x14:cfRule type="expression" priority="22" id="{DAA9CC2A-3E52-4DC1-929D-53BC7B118AEC}">
            <xm:f>NOT(Projektgrundlagen!$I$27)</xm:f>
            <x14:dxf>
              <font>
                <strike/>
                <color theme="0" tint="-0.14996795556505021"/>
              </font>
              <fill>
                <patternFill>
                  <bgColor theme="0"/>
                </patternFill>
              </fill>
            </x14:dxf>
          </x14:cfRule>
          <xm:sqref>E123:E124</xm:sqref>
        </x14:conditionalFormatting>
        <x14:conditionalFormatting xmlns:xm="http://schemas.microsoft.com/office/excel/2006/main">
          <x14:cfRule type="expression" priority="6" id="{23F0B54B-B8DF-4D65-B657-DAC48DAAFD3F}">
            <xm:f>NOT(Projektgrundlagen!$I$27)</xm:f>
            <x14:dxf>
              <font>
                <strike/>
                <color theme="0" tint="-0.14996795556505021"/>
              </font>
              <fill>
                <patternFill>
                  <bgColor theme="0"/>
                </patternFill>
              </fill>
            </x14:dxf>
          </x14:cfRule>
          <xm:sqref>E34:F36</xm:sqref>
        </x14:conditionalFormatting>
        <x14:conditionalFormatting xmlns:xm="http://schemas.microsoft.com/office/excel/2006/main">
          <x14:cfRule type="expression" priority="7" id="{F2DAC2D1-9A50-4390-8C33-67C68188E05E}">
            <xm:f>NOT(Projektgrundlagen!$I$27)</xm:f>
            <x14:dxf>
              <font>
                <strike/>
                <color theme="0" tint="-0.14996795556505021"/>
              </font>
              <fill>
                <patternFill>
                  <bgColor theme="0"/>
                </patternFill>
              </fill>
            </x14:dxf>
          </x14:cfRule>
          <xm:sqref>E20:H22 E23:F23 E24:H26</xm:sqref>
        </x14:conditionalFormatting>
        <x14:conditionalFormatting xmlns:xm="http://schemas.microsoft.com/office/excel/2006/main">
          <x14:cfRule type="expression" priority="20" id="{C03121E4-7CF7-467F-8DFE-B98D27723076}">
            <xm:f>NOT(Projektgrundlagen!$I$267)</xm:f>
            <x14:dxf>
              <font>
                <strike/>
                <color theme="0" tint="-0.14996795556505021"/>
              </font>
              <fill>
                <patternFill>
                  <bgColor theme="0"/>
                </patternFill>
              </fill>
            </x14:dxf>
          </x14:cfRule>
          <xm:sqref>F124</xm:sqref>
        </x14:conditionalFormatting>
        <x14:conditionalFormatting xmlns:xm="http://schemas.microsoft.com/office/excel/2006/main">
          <x14:cfRule type="expression" priority="177" id="{4374EF16-1CBC-41B1-AB6D-08BCFC0B1091}">
            <xm:f>NOT(Projektgrundlagen!$I$27)</xm:f>
            <x14:dxf>
              <font>
                <strike/>
                <color theme="0" tint="-0.14996795556505021"/>
              </font>
              <fill>
                <patternFill>
                  <bgColor theme="0"/>
                </patternFill>
              </fill>
            </x14:dxf>
          </x14:cfRule>
          <xm:sqref>H17:H18 B17:E19 H28:H29 C31:E31 H31:H32 C40:E40 H40:H41 E41:E42 C42 H43:H44 H49:H50 B67:B68 H67:H68 E68:E70 B69:D70 H70 B71:E73 H72 H77:H78 B77:E79 H82:H83 H88:H89 H110:H111 H113:H114 H119:H120 C122:E122 B122:B123 H122:H123 B124:D124 H128:H129 B139:E139</xm:sqref>
        </x14:conditionalFormatting>
        <x14:conditionalFormatting xmlns:xm="http://schemas.microsoft.com/office/excel/2006/main">
          <x14:cfRule type="expression" priority="52" id="{B067BA05-BE8D-4B56-90F5-BD9D7CBC6912}">
            <xm:f>NOT(Projektgrundlagen!$I$27)</xm:f>
            <x14:dxf>
              <font>
                <strike/>
                <color theme="0" tint="-0.14996795556505021"/>
              </font>
              <fill>
                <patternFill>
                  <bgColor theme="0"/>
                </patternFill>
              </fill>
            </x14:dxf>
          </x14:cfRule>
          <xm:sqref>H92:H93 H102:H103 H106:H107</xm:sqref>
        </x14:conditionalFormatting>
        <x14:conditionalFormatting xmlns:xm="http://schemas.microsoft.com/office/excel/2006/main">
          <x14:cfRule type="expression" priority="65" id="{CE63A983-770B-4486-A665-21E2AD9E492A}">
            <xm:f>NOT(Projektgrundlagen!$I$27)</xm:f>
            <x14:dxf>
              <font>
                <strike/>
                <color theme="0" tint="-0.14996795556505021"/>
              </font>
              <fill>
                <patternFill>
                  <bgColor theme="0"/>
                </patternFill>
              </fill>
            </x14:dxf>
          </x14:cfRule>
          <xm:sqref>I17:J45 B27:E30</xm:sqref>
        </x14:conditionalFormatting>
        <x14:conditionalFormatting xmlns:xm="http://schemas.microsoft.com/office/excel/2006/main">
          <x14:cfRule type="expression" priority="60" id="{887809C6-4D46-4029-8755-18B0033A491F}">
            <xm:f>NOT(Projektgrundlagen!$I$27)</xm:f>
            <x14:dxf>
              <font>
                <strike/>
                <color theme="0" tint="-0.14996795556505021"/>
              </font>
              <fill>
                <patternFill>
                  <bgColor theme="0"/>
                </patternFill>
              </fill>
            </x14:dxf>
          </x14:cfRule>
          <xm:sqref>I49:J73</xm:sqref>
        </x14:conditionalFormatting>
        <x14:conditionalFormatting xmlns:xm="http://schemas.microsoft.com/office/excel/2006/main">
          <x14:cfRule type="expression" priority="23" id="{C89633C6-5779-4B00-905E-99F8ECE3B3CF}">
            <xm:f>NOT(Projektgrundlagen!$I$27)</xm:f>
            <x14:dxf>
              <font>
                <strike/>
                <color theme="0" tint="-0.14996795556505021"/>
              </font>
              <fill>
                <patternFill>
                  <bgColor theme="0"/>
                </patternFill>
              </fill>
            </x14:dxf>
          </x14:cfRule>
          <xm:sqref>I77:J124 B101:E121</xm:sqref>
        </x14:conditionalFormatting>
        <x14:conditionalFormatting xmlns:xm="http://schemas.microsoft.com/office/excel/2006/main">
          <x14:cfRule type="expression" priority="9" id="{795BC6D4-D2FF-4013-A9D0-34E1EBBCE45E}">
            <xm:f>NOT(Projektgrundlagen!$I$27)</xm:f>
            <x14:dxf>
              <font>
                <strike/>
                <color theme="0" tint="-0.14996795556505021"/>
              </font>
              <fill>
                <patternFill>
                  <bgColor theme="0"/>
                </patternFill>
              </fill>
            </x14:dxf>
          </x14:cfRule>
          <xm:sqref>I128:J139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172"/>
  <sheetViews>
    <sheetView showGridLines="0" topLeftCell="A112" zoomScaleNormal="100" zoomScaleSheetLayoutView="110" workbookViewId="0">
      <selection activeCell="J125" sqref="J125"/>
    </sheetView>
  </sheetViews>
  <sheetFormatPr baseColWidth="10" defaultColWidth="0" defaultRowHeight="0" customHeight="1" zeroHeight="1"/>
  <cols>
    <col min="1" max="1" width="5.7265625" style="400" customWidth="1"/>
    <col min="2" max="2" width="3.26953125" style="188" customWidth="1"/>
    <col min="3" max="3" width="4.1796875" style="188" customWidth="1"/>
    <col min="4" max="4" width="3.26953125" style="188" customWidth="1"/>
    <col min="5" max="5" width="2.7265625" style="188" customWidth="1"/>
    <col min="6" max="6" width="44.453125" style="188" customWidth="1"/>
    <col min="7" max="7" width="12.26953125" style="188" customWidth="1"/>
    <col min="8" max="9" width="7.26953125" style="188" customWidth="1"/>
    <col min="10" max="10" width="12.26953125" style="188" customWidth="1"/>
    <col min="11" max="11" width="12.7265625" style="189" customWidth="1"/>
    <col min="12" max="12" width="2.7265625" style="172" customWidth="1"/>
    <col min="13" max="13" width="11.453125" style="173" hidden="1" customWidth="1"/>
    <col min="14" max="16" width="0" style="174" hidden="1" customWidth="1"/>
    <col min="17" max="16384" width="10.7265625" style="174" hidden="1"/>
  </cols>
  <sheetData>
    <row r="1" spans="1:16" ht="16.5"/>
    <row r="2" spans="1:16" s="108" customFormat="1" ht="16.5" customHeight="1">
      <c r="A2" s="344"/>
      <c r="B2" s="876" t="str">
        <f>IF(Projektgrundlagen!B2="","",Projektgrundlagen!B2)</f>
        <v>Landschaftspflegerischer Begleitplan</v>
      </c>
      <c r="C2" s="876"/>
      <c r="D2" s="876"/>
      <c r="E2" s="876"/>
      <c r="F2" s="876"/>
      <c r="G2" s="877"/>
      <c r="H2" s="981" t="str">
        <f>IF(Projektgrundlagen!F2="","",Projektgrundlagen!F2)</f>
        <v>VII.05.4-LBP</v>
      </c>
      <c r="I2" s="919"/>
      <c r="J2" s="919" t="s">
        <v>212</v>
      </c>
      <c r="K2" s="920"/>
      <c r="L2" s="992" t="s">
        <v>223</v>
      </c>
      <c r="M2" s="171" t="s">
        <v>39</v>
      </c>
      <c r="P2" s="157" t="s">
        <v>111</v>
      </c>
    </row>
    <row r="3" spans="1:16" s="108" customFormat="1" ht="16.5">
      <c r="A3" s="344"/>
      <c r="B3" s="853" t="s">
        <v>48</v>
      </c>
      <c r="C3" s="853"/>
      <c r="D3" s="853"/>
      <c r="E3" s="853"/>
      <c r="F3" s="853"/>
      <c r="G3" s="854"/>
      <c r="H3" s="982" t="str">
        <f>IF(Projektgrundlagen!F3="","",Projektgrundlagen!F3)</f>
        <v>Vertragsnr.:</v>
      </c>
      <c r="I3" s="983"/>
      <c r="J3" s="978" t="str">
        <f>IF(Projektgrundlagen!G3="","",Projektgrundlagen!G3)</f>
        <v/>
      </c>
      <c r="K3" s="979"/>
      <c r="L3" s="992"/>
      <c r="M3" s="109"/>
      <c r="P3" s="1" t="str">
        <f ca="1">MID(CELL("dateiname",A2),FIND("]",CELL("dateiname",A2))+1,255)</f>
        <v>StB-D1 Besondere Lstg</v>
      </c>
    </row>
    <row r="4" spans="1:16" s="108" customFormat="1" ht="7.5" customHeight="1">
      <c r="A4" s="344"/>
      <c r="B4" s="287"/>
      <c r="C4" s="287"/>
      <c r="D4" s="287"/>
      <c r="E4" s="287"/>
      <c r="F4" s="287"/>
      <c r="G4" s="309"/>
      <c r="H4" s="120"/>
      <c r="I4" s="120"/>
      <c r="J4" s="146"/>
      <c r="K4" s="146"/>
      <c r="L4" s="992"/>
      <c r="M4" s="109"/>
    </row>
    <row r="5" spans="1:16" s="108" customFormat="1" ht="16.5">
      <c r="A5" s="344"/>
      <c r="B5" s="964" t="str">
        <f>IF(Projektgrundlagen!B5="","",Projektgrundlagen!B5)</f>
        <v>Maßnahmennr:</v>
      </c>
      <c r="C5" s="965"/>
      <c r="D5" s="965"/>
      <c r="E5" s="965"/>
      <c r="F5" s="987" t="str">
        <f>IF(Projektgrundlagen!E5="","",Projektgrundlagen!E5)</f>
        <v/>
      </c>
      <c r="G5" s="987"/>
      <c r="H5" s="984" t="str">
        <f>IF(Projektgrundlagen!F5="","",Projektgrundlagen!F5)</f>
        <v>Vergabenr.:</v>
      </c>
      <c r="I5" s="984"/>
      <c r="J5" s="927" t="str">
        <f>IF(Projektgrundlagen!G5="","",Projektgrundlagen!G5)</f>
        <v/>
      </c>
      <c r="K5" s="980"/>
      <c r="L5" s="992"/>
      <c r="M5" s="109"/>
    </row>
    <row r="6" spans="1:16" s="108" customFormat="1" ht="16.5">
      <c r="A6" s="344"/>
      <c r="B6" s="966" t="str">
        <f>IF(Projektgrundlagen!B6="","",Projektgrundlagen!B6)</f>
        <v>Bauherr:</v>
      </c>
      <c r="C6" s="967"/>
      <c r="D6" s="967"/>
      <c r="E6" s="967"/>
      <c r="F6" s="970" t="str">
        <f>IF(Projektgrundlagen!E6="","",Projektgrundlagen!E6)</f>
        <v xml:space="preserve">Mittelfränkischen Eisenbahnbetriebs GmbH  </v>
      </c>
      <c r="G6" s="970"/>
      <c r="H6" s="970"/>
      <c r="I6" s="970"/>
      <c r="J6" s="970"/>
      <c r="K6" s="971"/>
      <c r="L6" s="992"/>
      <c r="M6" s="109"/>
    </row>
    <row r="7" spans="1:16" s="108" customFormat="1" ht="16.5">
      <c r="A7" s="344"/>
      <c r="B7" s="968" t="str">
        <f>IF(Projektgrundlagen!B7="","",Projektgrundlagen!B7)</f>
        <v>Maßnahme:</v>
      </c>
      <c r="C7" s="969"/>
      <c r="D7" s="969"/>
      <c r="E7" s="969"/>
      <c r="F7" s="972" t="str">
        <f>IF(Projektgrundlagen!E7="","",Projektgrundlagen!E7)</f>
        <v>Reaktivierung der Bahnstrecke 5331 im Abschnitt Wilburgstetten - Dombühl für den SPNV</v>
      </c>
      <c r="G7" s="972"/>
      <c r="H7" s="972"/>
      <c r="I7" s="972"/>
      <c r="J7" s="972"/>
      <c r="K7" s="973"/>
      <c r="L7" s="992"/>
      <c r="M7" s="109"/>
    </row>
    <row r="8" spans="1:16" s="108" customFormat="1" ht="16.5">
      <c r="A8" s="344"/>
      <c r="B8" s="962" t="str">
        <f>IF(Projektgrundlagen!B8="","",Projektgrundlagen!B8)</f>
        <v>Bieter:</v>
      </c>
      <c r="C8" s="963"/>
      <c r="D8" s="963"/>
      <c r="E8" s="963"/>
      <c r="F8" s="988" t="str">
        <f>IF(Projektgrundlagen!E8="","",Projektgrundlagen!E8)</f>
        <v/>
      </c>
      <c r="G8" s="988"/>
      <c r="H8" s="988"/>
      <c r="I8" s="988"/>
      <c r="J8" s="988"/>
      <c r="K8" s="989"/>
      <c r="L8" s="992"/>
      <c r="M8" s="109"/>
    </row>
    <row r="9" spans="1:16" ht="16.5">
      <c r="B9" s="418"/>
      <c r="C9" s="669"/>
      <c r="D9" s="185"/>
      <c r="E9" s="185"/>
      <c r="F9" s="186"/>
      <c r="G9" s="187"/>
      <c r="H9" s="186"/>
      <c r="I9" s="186"/>
      <c r="J9" s="419"/>
      <c r="K9" s="194"/>
    </row>
    <row r="10" spans="1:16" s="108" customFormat="1" ht="27" customHeight="1">
      <c r="A10" s="344"/>
      <c r="B10" s="991" t="s">
        <v>661</v>
      </c>
      <c r="C10" s="991"/>
      <c r="D10" s="991"/>
      <c r="E10" s="991"/>
      <c r="F10" s="991"/>
      <c r="G10" s="425"/>
      <c r="H10" s="600" t="s">
        <v>30</v>
      </c>
      <c r="I10" s="600" t="s">
        <v>29</v>
      </c>
      <c r="J10" s="431" t="s">
        <v>241</v>
      </c>
      <c r="K10" s="429" t="s">
        <v>240</v>
      </c>
      <c r="L10" s="106"/>
      <c r="M10" s="109"/>
    </row>
    <row r="11" spans="1:16" s="108" customFormat="1" ht="27" customHeight="1">
      <c r="A11" s="344"/>
      <c r="B11" s="426" t="s">
        <v>183</v>
      </c>
      <c r="C11" s="427"/>
      <c r="D11" s="427"/>
      <c r="E11" s="427"/>
      <c r="F11" s="427"/>
      <c r="G11" s="428" t="str">
        <f>IF(OR(Projektgrundlagen!$I$26,Projektgrundlagen!I27),"","Besondere Lstg. Straßenbau sind nicht Teil dieser Honorarermittlung!")</f>
        <v/>
      </c>
      <c r="H11" s="430"/>
      <c r="I11" s="430"/>
      <c r="J11" s="431"/>
      <c r="K11" s="429"/>
      <c r="L11" s="106"/>
      <c r="M11" s="109"/>
    </row>
    <row r="12" spans="1:16" ht="7.5" customHeight="1">
      <c r="B12" s="420"/>
      <c r="C12" s="670"/>
      <c r="D12" s="421"/>
      <c r="E12" s="421"/>
      <c r="F12" s="422"/>
      <c r="G12" s="423"/>
      <c r="H12" s="422"/>
      <c r="I12" s="422"/>
      <c r="J12" s="424"/>
      <c r="K12" s="249"/>
    </row>
    <row r="13" spans="1:16" ht="22.75" customHeight="1">
      <c r="B13" s="387" t="s">
        <v>549</v>
      </c>
      <c r="C13" s="388"/>
      <c r="D13" s="388"/>
      <c r="E13" s="388"/>
      <c r="F13" s="388"/>
      <c r="G13" s="388"/>
      <c r="H13" s="397"/>
      <c r="I13" s="397"/>
      <c r="J13" s="401"/>
      <c r="K13" s="402"/>
      <c r="L13" s="190"/>
    </row>
    <row r="14" spans="1:16" ht="17.5">
      <c r="B14" s="86"/>
      <c r="C14" s="795" t="s">
        <v>26</v>
      </c>
      <c r="D14" s="790"/>
      <c r="E14" s="331"/>
      <c r="F14" s="797" t="s">
        <v>548</v>
      </c>
      <c r="G14" s="327"/>
      <c r="H14" s="494"/>
      <c r="I14" s="496"/>
      <c r="J14" s="490"/>
      <c r="K14" s="330" t="str">
        <f>IF(M14,IF(J14&gt;0,H14*J14,0),"")</f>
        <v/>
      </c>
      <c r="L14" s="190"/>
      <c r="M14" s="173" t="b">
        <v>0</v>
      </c>
    </row>
    <row r="15" spans="1:16" ht="25">
      <c r="B15" s="145"/>
      <c r="C15" s="674"/>
      <c r="D15" s="485"/>
      <c r="E15" s="331"/>
      <c r="F15" s="332" t="s">
        <v>563</v>
      </c>
      <c r="G15" s="334"/>
      <c r="H15" s="744"/>
      <c r="I15" s="498"/>
      <c r="J15" s="497"/>
      <c r="K15" s="500"/>
      <c r="L15" s="190"/>
    </row>
    <row r="16" spans="1:16" ht="16.5">
      <c r="B16" s="145"/>
      <c r="C16" s="674"/>
      <c r="D16" s="485"/>
      <c r="E16" s="331"/>
      <c r="F16" s="821"/>
      <c r="G16" s="334"/>
      <c r="H16" s="744"/>
      <c r="I16" s="498"/>
      <c r="J16" s="497"/>
      <c r="K16" s="822"/>
      <c r="L16" s="190"/>
    </row>
    <row r="17" spans="2:13" ht="17.5">
      <c r="B17" s="86"/>
      <c r="C17" s="795" t="s">
        <v>25</v>
      </c>
      <c r="D17" s="791"/>
      <c r="E17" s="792"/>
      <c r="F17" s="797" t="s">
        <v>551</v>
      </c>
      <c r="G17" s="327"/>
      <c r="H17" s="494"/>
      <c r="I17" s="496"/>
      <c r="J17" s="492"/>
      <c r="K17" s="330" t="str">
        <f t="shared" ref="K17:K45" si="0">IF(M17,IF(J17&gt;0,H17*J17,0),"")</f>
        <v/>
      </c>
      <c r="L17" s="190"/>
      <c r="M17" s="173" t="b">
        <v>0</v>
      </c>
    </row>
    <row r="18" spans="2:13" ht="16.5">
      <c r="B18" s="145"/>
      <c r="C18" s="674"/>
      <c r="D18" s="485"/>
      <c r="E18" s="331"/>
      <c r="F18" s="332" t="s">
        <v>550</v>
      </c>
      <c r="G18" s="334"/>
      <c r="H18" s="498"/>
      <c r="I18" s="333"/>
      <c r="J18" s="497"/>
      <c r="K18" s="500"/>
      <c r="L18" s="190"/>
    </row>
    <row r="19" spans="2:13" ht="16.5">
      <c r="B19" s="145"/>
      <c r="C19" s="674"/>
      <c r="D19" s="485"/>
      <c r="E19" s="331"/>
      <c r="F19" s="821"/>
      <c r="G19" s="334"/>
      <c r="H19" s="744"/>
      <c r="I19" s="498"/>
      <c r="J19" s="497"/>
      <c r="K19" s="822"/>
      <c r="L19" s="190"/>
    </row>
    <row r="20" spans="2:13" ht="17.5">
      <c r="B20" s="176"/>
      <c r="C20" s="795" t="s">
        <v>24</v>
      </c>
      <c r="D20" s="791"/>
      <c r="E20" s="792"/>
      <c r="F20" s="797" t="s">
        <v>552</v>
      </c>
      <c r="G20" s="327"/>
      <c r="H20" s="494"/>
      <c r="I20" s="496"/>
      <c r="J20" s="492"/>
      <c r="K20" s="330" t="str">
        <f t="shared" si="0"/>
        <v/>
      </c>
      <c r="L20" s="190"/>
      <c r="M20" s="173" t="b">
        <v>0</v>
      </c>
    </row>
    <row r="21" spans="2:13" ht="16.5">
      <c r="B21" s="264"/>
      <c r="C21" s="674"/>
      <c r="D21" s="485"/>
      <c r="E21" s="331"/>
      <c r="F21" s="332" t="s">
        <v>553</v>
      </c>
      <c r="G21" s="334"/>
      <c r="H21" s="498"/>
      <c r="I21" s="333"/>
      <c r="J21" s="497"/>
      <c r="K21" s="500"/>
      <c r="L21" s="190"/>
    </row>
    <row r="22" spans="2:13" ht="16.5">
      <c r="B22" s="145"/>
      <c r="C22" s="674"/>
      <c r="D22" s="485"/>
      <c r="E22" s="331"/>
      <c r="F22" s="821"/>
      <c r="G22" s="334"/>
      <c r="H22" s="744"/>
      <c r="I22" s="498"/>
      <c r="J22" s="497"/>
      <c r="K22" s="822"/>
      <c r="L22" s="190"/>
    </row>
    <row r="23" spans="2:13" ht="17.5">
      <c r="B23" s="176"/>
      <c r="C23" s="795" t="s">
        <v>125</v>
      </c>
      <c r="D23" s="791"/>
      <c r="E23" s="792"/>
      <c r="F23" s="797" t="s">
        <v>554</v>
      </c>
      <c r="G23" s="327"/>
      <c r="H23" s="494"/>
      <c r="I23" s="496"/>
      <c r="J23" s="492"/>
      <c r="K23" s="330" t="str">
        <f t="shared" si="0"/>
        <v/>
      </c>
      <c r="L23" s="190"/>
      <c r="M23" s="173" t="b">
        <v>0</v>
      </c>
    </row>
    <row r="24" spans="2:13" ht="16.5">
      <c r="B24" s="264"/>
      <c r="C24" s="674"/>
      <c r="D24" s="485"/>
      <c r="E24" s="331"/>
      <c r="F24" s="332"/>
      <c r="G24" s="334"/>
      <c r="H24" s="498"/>
      <c r="I24" s="333"/>
      <c r="J24" s="497"/>
      <c r="K24" s="500"/>
      <c r="L24" s="190"/>
    </row>
    <row r="25" spans="2:13" ht="16.5">
      <c r="B25" s="145"/>
      <c r="C25" s="674"/>
      <c r="D25" s="485"/>
      <c r="E25" s="331"/>
      <c r="F25" s="821"/>
      <c r="G25" s="334"/>
      <c r="H25" s="744"/>
      <c r="I25" s="498"/>
      <c r="J25" s="497"/>
      <c r="K25" s="822"/>
      <c r="L25" s="190"/>
    </row>
    <row r="26" spans="2:13" ht="17.5">
      <c r="B26" s="86"/>
      <c r="C26" s="795" t="s">
        <v>126</v>
      </c>
      <c r="D26" s="791"/>
      <c r="E26" s="792"/>
      <c r="F26" s="797" t="s">
        <v>555</v>
      </c>
      <c r="G26" s="327"/>
      <c r="H26" s="494"/>
      <c r="I26" s="496"/>
      <c r="J26" s="492"/>
      <c r="K26" s="330" t="str">
        <f t="shared" ref="K26" si="1">IF(M26,IF(J26&gt;0,H26*J26,0),"")</f>
        <v/>
      </c>
      <c r="L26" s="190"/>
      <c r="M26" s="173" t="b">
        <v>0</v>
      </c>
    </row>
    <row r="27" spans="2:13" ht="16.5">
      <c r="B27" s="145"/>
      <c r="C27" s="674"/>
      <c r="D27" s="485"/>
      <c r="E27" s="331"/>
      <c r="F27" s="332"/>
      <c r="G27" s="334"/>
      <c r="H27" s="498"/>
      <c r="I27" s="333"/>
      <c r="J27" s="497"/>
      <c r="K27" s="500"/>
      <c r="L27" s="190"/>
    </row>
    <row r="28" spans="2:13" ht="16.5">
      <c r="B28" s="145"/>
      <c r="C28" s="674"/>
      <c r="D28" s="485"/>
      <c r="E28" s="331"/>
      <c r="F28" s="821"/>
      <c r="G28" s="334"/>
      <c r="H28" s="744"/>
      <c r="I28" s="498"/>
      <c r="J28" s="497"/>
      <c r="K28" s="822"/>
      <c r="L28" s="190"/>
    </row>
    <row r="29" spans="2:13" ht="17.5">
      <c r="B29" s="176"/>
      <c r="C29" s="795" t="s">
        <v>127</v>
      </c>
      <c r="D29" s="791"/>
      <c r="E29" s="792"/>
      <c r="F29" s="797" t="s">
        <v>556</v>
      </c>
      <c r="G29" s="327"/>
      <c r="H29" s="494"/>
      <c r="I29" s="496"/>
      <c r="J29" s="492"/>
      <c r="K29" s="330" t="str">
        <f t="shared" ref="K29" si="2">IF(M29,IF(J29&gt;0,H29*J29,0),"")</f>
        <v/>
      </c>
      <c r="L29" s="190"/>
      <c r="M29" s="173" t="b">
        <v>0</v>
      </c>
    </row>
    <row r="30" spans="2:13" ht="16.5">
      <c r="B30" s="264"/>
      <c r="C30" s="674"/>
      <c r="D30" s="485"/>
      <c r="E30" s="331"/>
      <c r="F30" s="332" t="s">
        <v>557</v>
      </c>
      <c r="G30" s="334"/>
      <c r="H30" s="498"/>
      <c r="I30" s="333"/>
      <c r="J30" s="497"/>
      <c r="K30" s="500"/>
      <c r="L30" s="190"/>
    </row>
    <row r="31" spans="2:13" ht="16.5">
      <c r="B31" s="145"/>
      <c r="C31" s="674"/>
      <c r="D31" s="485"/>
      <c r="E31" s="331"/>
      <c r="F31" s="821"/>
      <c r="G31" s="334"/>
      <c r="H31" s="744"/>
      <c r="I31" s="498"/>
      <c r="J31" s="497"/>
      <c r="K31" s="822"/>
      <c r="L31" s="190"/>
    </row>
    <row r="32" spans="2:13" ht="17.5">
      <c r="B32" s="176"/>
      <c r="C32" s="795" t="s">
        <v>305</v>
      </c>
      <c r="D32" s="791"/>
      <c r="E32" s="792"/>
      <c r="F32" s="797" t="s">
        <v>558</v>
      </c>
      <c r="G32" s="327"/>
      <c r="H32" s="494"/>
      <c r="I32" s="496"/>
      <c r="J32" s="492"/>
      <c r="K32" s="330" t="str">
        <f t="shared" ref="K32" si="3">IF(M32,IF(J32&gt;0,H32*J32,0),"")</f>
        <v/>
      </c>
      <c r="L32" s="190"/>
      <c r="M32" s="173" t="b">
        <v>0</v>
      </c>
    </row>
    <row r="33" spans="2:13" ht="25">
      <c r="B33" s="264"/>
      <c r="C33" s="674"/>
      <c r="D33" s="485"/>
      <c r="E33" s="331"/>
      <c r="F33" s="332" t="s">
        <v>559</v>
      </c>
      <c r="G33" s="334"/>
      <c r="H33" s="498"/>
      <c r="I33" s="333"/>
      <c r="J33" s="497"/>
      <c r="K33" s="500"/>
      <c r="L33" s="190"/>
    </row>
    <row r="34" spans="2:13" ht="16.5">
      <c r="B34" s="145"/>
      <c r="C34" s="674"/>
      <c r="D34" s="485"/>
      <c r="E34" s="331"/>
      <c r="F34" s="821"/>
      <c r="G34" s="334"/>
      <c r="H34" s="744"/>
      <c r="I34" s="498"/>
      <c r="J34" s="497"/>
      <c r="K34" s="822"/>
      <c r="L34" s="190"/>
    </row>
    <row r="35" spans="2:13" ht="17.5">
      <c r="B35" s="176"/>
      <c r="C35" s="795" t="s">
        <v>543</v>
      </c>
      <c r="D35" s="791"/>
      <c r="E35" s="792"/>
      <c r="F35" s="797" t="s">
        <v>560</v>
      </c>
      <c r="G35" s="327"/>
      <c r="H35" s="494"/>
      <c r="I35" s="496"/>
      <c r="J35" s="492"/>
      <c r="K35" s="330" t="str">
        <f t="shared" ref="K35" si="4">IF(M35,IF(J35&gt;0,H35*J35,0),"")</f>
        <v/>
      </c>
      <c r="L35" s="190"/>
      <c r="M35" s="173" t="b">
        <v>0</v>
      </c>
    </row>
    <row r="36" spans="2:13" ht="16.5">
      <c r="B36" s="264"/>
      <c r="C36" s="674"/>
      <c r="D36" s="485"/>
      <c r="E36" s="331"/>
      <c r="F36" s="332" t="s">
        <v>561</v>
      </c>
      <c r="G36" s="334"/>
      <c r="H36" s="498"/>
      <c r="I36" s="333"/>
      <c r="J36" s="497"/>
      <c r="K36" s="500"/>
      <c r="L36" s="190"/>
    </row>
    <row r="37" spans="2:13" ht="16.5">
      <c r="B37" s="145"/>
      <c r="C37" s="674"/>
      <c r="D37" s="485"/>
      <c r="E37" s="331"/>
      <c r="F37" s="821"/>
      <c r="G37" s="334"/>
      <c r="H37" s="744"/>
      <c r="I37" s="498"/>
      <c r="J37" s="497"/>
      <c r="K37" s="822"/>
      <c r="L37" s="190"/>
    </row>
    <row r="38" spans="2:13" ht="17.5">
      <c r="B38" s="176"/>
      <c r="C38" s="795" t="s">
        <v>544</v>
      </c>
      <c r="D38" s="791"/>
      <c r="E38" s="792"/>
      <c r="F38" s="797" t="s">
        <v>562</v>
      </c>
      <c r="G38" s="327"/>
      <c r="H38" s="494"/>
      <c r="I38" s="496"/>
      <c r="J38" s="492"/>
      <c r="K38" s="330" t="str">
        <f t="shared" ref="K38" si="5">IF(M38,IF(J38&gt;0,H38*J38,0),"")</f>
        <v/>
      </c>
      <c r="L38" s="190"/>
      <c r="M38" s="173" t="b">
        <v>0</v>
      </c>
    </row>
    <row r="39" spans="2:13" ht="16.5">
      <c r="B39" s="264"/>
      <c r="C39" s="674"/>
      <c r="D39" s="485"/>
      <c r="E39" s="331"/>
      <c r="F39" s="332"/>
      <c r="G39" s="334"/>
      <c r="H39" s="498"/>
      <c r="I39" s="333"/>
      <c r="J39" s="497"/>
      <c r="K39" s="500"/>
      <c r="L39" s="190"/>
    </row>
    <row r="40" spans="2:13" ht="16.5">
      <c r="B40" s="145"/>
      <c r="C40" s="674"/>
      <c r="D40" s="485"/>
      <c r="E40" s="331"/>
      <c r="F40" s="821"/>
      <c r="G40" s="334"/>
      <c r="H40" s="744"/>
      <c r="I40" s="498"/>
      <c r="J40" s="497"/>
      <c r="K40" s="822"/>
      <c r="L40" s="190"/>
    </row>
    <row r="41" spans="2:13" ht="17.5">
      <c r="B41" s="176"/>
      <c r="C41" s="795" t="s">
        <v>545</v>
      </c>
      <c r="D41" s="791"/>
      <c r="E41" s="792"/>
      <c r="F41" s="794"/>
      <c r="G41" s="327"/>
      <c r="H41" s="494"/>
      <c r="I41" s="329"/>
      <c r="J41" s="492"/>
      <c r="K41" s="330" t="str">
        <f t="shared" ref="K41" si="6">IF(M41,IF(J41&gt;0,H41*J41,0),"")</f>
        <v/>
      </c>
      <c r="L41" s="190"/>
      <c r="M41" s="173" t="b">
        <v>0</v>
      </c>
    </row>
    <row r="42" spans="2:13" ht="16.5">
      <c r="B42" s="210"/>
      <c r="C42" s="668"/>
      <c r="D42" s="486"/>
      <c r="E42" s="324"/>
      <c r="F42" s="328"/>
      <c r="G42" s="325"/>
      <c r="H42" s="493"/>
      <c r="I42" s="493"/>
      <c r="J42" s="491"/>
      <c r="K42" s="326"/>
      <c r="L42" s="190"/>
    </row>
    <row r="43" spans="2:13" ht="17.5">
      <c r="B43" s="176"/>
      <c r="C43" s="795" t="s">
        <v>546</v>
      </c>
      <c r="D43" s="791"/>
      <c r="E43" s="792"/>
      <c r="F43" s="794"/>
      <c r="G43" s="327"/>
      <c r="H43" s="494"/>
      <c r="I43" s="329"/>
      <c r="J43" s="492"/>
      <c r="K43" s="330" t="str">
        <f t="shared" ref="K43" si="7">IF(M43,IF(J43&gt;0,H43*J43,0),"")</f>
        <v/>
      </c>
      <c r="L43" s="190"/>
      <c r="M43" s="173" t="b">
        <v>0</v>
      </c>
    </row>
    <row r="44" spans="2:13" ht="16.5">
      <c r="B44" s="210"/>
      <c r="C44" s="668"/>
      <c r="D44" s="486"/>
      <c r="E44" s="324"/>
      <c r="F44" s="328"/>
      <c r="G44" s="325"/>
      <c r="H44" s="493"/>
      <c r="I44" s="493"/>
      <c r="J44" s="491"/>
      <c r="K44" s="326"/>
      <c r="L44" s="190"/>
    </row>
    <row r="45" spans="2:13" ht="17.5">
      <c r="B45" s="176"/>
      <c r="C45" s="795" t="s">
        <v>547</v>
      </c>
      <c r="D45" s="791"/>
      <c r="E45" s="792"/>
      <c r="F45" s="794"/>
      <c r="G45" s="327"/>
      <c r="H45" s="494"/>
      <c r="I45" s="329"/>
      <c r="J45" s="492"/>
      <c r="K45" s="330" t="str">
        <f t="shared" si="0"/>
        <v/>
      </c>
      <c r="L45" s="190"/>
      <c r="M45" s="173" t="b">
        <v>0</v>
      </c>
    </row>
    <row r="46" spans="2:13" ht="17" thickBot="1">
      <c r="B46" s="210"/>
      <c r="C46" s="668"/>
      <c r="D46" s="486"/>
      <c r="E46" s="324"/>
      <c r="F46" s="328"/>
      <c r="G46" s="325"/>
      <c r="H46" s="493"/>
      <c r="I46" s="493"/>
      <c r="J46" s="491"/>
      <c r="K46" s="326"/>
      <c r="L46" s="190"/>
    </row>
    <row r="47" spans="2:13" ht="22.75" customHeight="1" thickBot="1">
      <c r="B47" s="403"/>
      <c r="C47" s="671" t="s">
        <v>10</v>
      </c>
      <c r="D47" s="404"/>
      <c r="E47" s="405"/>
      <c r="F47" s="323"/>
      <c r="G47" s="406"/>
      <c r="H47" s="323"/>
      <c r="I47" s="323"/>
      <c r="J47" s="407" t="s">
        <v>564</v>
      </c>
      <c r="K47" s="408" t="str">
        <f>IF(OR(Projektgrundlagen!$I$26,Projektgrundlagen!I27),IF(COUNT(K14:K46)&gt;0,SUM(K14:K46),""),0)</f>
        <v/>
      </c>
    </row>
    <row r="48" spans="2:13" ht="7.5" customHeight="1">
      <c r="B48" s="192"/>
      <c r="C48" s="672"/>
      <c r="D48" s="177"/>
      <c r="E48" s="177"/>
      <c r="F48" s="167"/>
      <c r="G48" s="178"/>
      <c r="H48" s="167"/>
      <c r="I48" s="167"/>
      <c r="J48" s="170"/>
      <c r="K48" s="193"/>
    </row>
    <row r="49" spans="2:13" ht="22.75" customHeight="1">
      <c r="B49" s="387" t="s">
        <v>565</v>
      </c>
      <c r="C49" s="388"/>
      <c r="D49" s="388"/>
      <c r="E49" s="388"/>
      <c r="F49" s="388"/>
      <c r="G49" s="388"/>
      <c r="H49" s="397"/>
      <c r="I49" s="397"/>
      <c r="J49" s="401"/>
      <c r="K49" s="409"/>
    </row>
    <row r="50" spans="2:13" ht="17.5">
      <c r="B50" s="175"/>
      <c r="C50" s="795" t="s">
        <v>23</v>
      </c>
      <c r="D50" s="790"/>
      <c r="E50" s="793"/>
      <c r="F50" s="797" t="s">
        <v>567</v>
      </c>
      <c r="G50" s="327"/>
      <c r="H50" s="494"/>
      <c r="I50" s="496"/>
      <c r="J50" s="490"/>
      <c r="K50" s="330" t="str">
        <f>IF(M50,IF(J50&gt;0,H50*J50,0),"")</f>
        <v/>
      </c>
      <c r="M50" s="173" t="b">
        <v>0</v>
      </c>
    </row>
    <row r="51" spans="2:13" ht="16.5">
      <c r="B51" s="264"/>
      <c r="C51" s="674"/>
      <c r="D51" s="485"/>
      <c r="E51" s="331"/>
      <c r="F51" s="332"/>
      <c r="G51" s="334"/>
      <c r="H51" s="498"/>
      <c r="I51" s="333"/>
      <c r="J51" s="497"/>
      <c r="K51" s="500"/>
      <c r="L51" s="190"/>
    </row>
    <row r="52" spans="2:13" ht="16.5">
      <c r="B52" s="145"/>
      <c r="C52" s="674"/>
      <c r="D52" s="485"/>
      <c r="E52" s="331"/>
      <c r="F52" s="821"/>
      <c r="G52" s="334"/>
      <c r="H52" s="744"/>
      <c r="I52" s="498"/>
      <c r="J52" s="497"/>
      <c r="K52" s="822"/>
      <c r="L52" s="190"/>
    </row>
    <row r="53" spans="2:13" ht="17.5">
      <c r="B53" s="175"/>
      <c r="C53" s="795" t="s">
        <v>22</v>
      </c>
      <c r="D53" s="791"/>
      <c r="E53" s="792"/>
      <c r="F53" s="797" t="s">
        <v>568</v>
      </c>
      <c r="G53" s="327"/>
      <c r="H53" s="494"/>
      <c r="I53" s="496"/>
      <c r="J53" s="492"/>
      <c r="K53" s="330" t="str">
        <f t="shared" ref="K53:K75" si="8">IF(M53,IF(J53&gt;0,H53*J53,0),"")</f>
        <v/>
      </c>
      <c r="M53" s="173" t="b">
        <v>0</v>
      </c>
    </row>
    <row r="54" spans="2:13" ht="16.5">
      <c r="B54" s="264"/>
      <c r="C54" s="674"/>
      <c r="D54" s="485"/>
      <c r="E54" s="331"/>
      <c r="F54" s="332"/>
      <c r="G54" s="334"/>
      <c r="H54" s="498"/>
      <c r="I54" s="333"/>
      <c r="J54" s="497"/>
      <c r="K54" s="500"/>
      <c r="L54" s="190"/>
    </row>
    <row r="55" spans="2:13" ht="16.5">
      <c r="B55" s="145"/>
      <c r="C55" s="674"/>
      <c r="D55" s="485"/>
      <c r="E55" s="331"/>
      <c r="F55" s="821"/>
      <c r="G55" s="334"/>
      <c r="H55" s="744"/>
      <c r="I55" s="498"/>
      <c r="J55" s="497"/>
      <c r="K55" s="822"/>
      <c r="L55" s="190"/>
    </row>
    <row r="56" spans="2:13" ht="17.5">
      <c r="B56" s="175"/>
      <c r="C56" s="795" t="s">
        <v>21</v>
      </c>
      <c r="D56" s="791"/>
      <c r="E56" s="792"/>
      <c r="F56" s="797" t="s">
        <v>569</v>
      </c>
      <c r="G56" s="327"/>
      <c r="H56" s="494"/>
      <c r="I56" s="496"/>
      <c r="J56" s="492"/>
      <c r="K56" s="330" t="str">
        <f t="shared" si="8"/>
        <v/>
      </c>
      <c r="M56" s="173" t="b">
        <v>0</v>
      </c>
    </row>
    <row r="57" spans="2:13" ht="16.5">
      <c r="B57" s="264"/>
      <c r="C57" s="674"/>
      <c r="D57" s="485"/>
      <c r="E57" s="331"/>
      <c r="F57" s="332"/>
      <c r="G57" s="334"/>
      <c r="H57" s="498"/>
      <c r="I57" s="333"/>
      <c r="J57" s="497"/>
      <c r="K57" s="500"/>
      <c r="L57" s="190"/>
    </row>
    <row r="58" spans="2:13" ht="16.5">
      <c r="B58" s="145"/>
      <c r="C58" s="674"/>
      <c r="D58" s="485"/>
      <c r="E58" s="331"/>
      <c r="F58" s="821"/>
      <c r="G58" s="334"/>
      <c r="H58" s="744"/>
      <c r="I58" s="498"/>
      <c r="J58" s="497"/>
      <c r="K58" s="822"/>
      <c r="L58" s="190"/>
    </row>
    <row r="59" spans="2:13" ht="17.5">
      <c r="B59" s="175"/>
      <c r="C59" s="795" t="s">
        <v>128</v>
      </c>
      <c r="D59" s="791"/>
      <c r="E59" s="792"/>
      <c r="F59" s="797" t="s">
        <v>570</v>
      </c>
      <c r="G59" s="327"/>
      <c r="H59" s="494"/>
      <c r="I59" s="496"/>
      <c r="J59" s="492"/>
      <c r="K59" s="330" t="str">
        <f t="shared" si="8"/>
        <v/>
      </c>
      <c r="M59" s="173" t="b">
        <v>0</v>
      </c>
    </row>
    <row r="60" spans="2:13" ht="16.5">
      <c r="B60" s="264"/>
      <c r="C60" s="674"/>
      <c r="D60" s="485"/>
      <c r="E60" s="331"/>
      <c r="F60" s="332" t="s">
        <v>571</v>
      </c>
      <c r="G60" s="334"/>
      <c r="H60" s="498"/>
      <c r="I60" s="333"/>
      <c r="J60" s="497"/>
      <c r="K60" s="500"/>
      <c r="L60" s="190"/>
    </row>
    <row r="61" spans="2:13" ht="16.5">
      <c r="B61" s="145"/>
      <c r="C61" s="674"/>
      <c r="D61" s="485"/>
      <c r="E61" s="331"/>
      <c r="F61" s="821"/>
      <c r="G61" s="334"/>
      <c r="H61" s="744"/>
      <c r="I61" s="498"/>
      <c r="J61" s="497"/>
      <c r="K61" s="822"/>
      <c r="L61" s="190"/>
    </row>
    <row r="62" spans="2:13" ht="17.5">
      <c r="B62" s="179"/>
      <c r="C62" s="795" t="s">
        <v>129</v>
      </c>
      <c r="D62" s="791"/>
      <c r="E62" s="792"/>
      <c r="F62" s="797" t="s">
        <v>572</v>
      </c>
      <c r="G62" s="327"/>
      <c r="H62" s="494"/>
      <c r="I62" s="496"/>
      <c r="J62" s="492"/>
      <c r="K62" s="330" t="str">
        <f t="shared" si="8"/>
        <v/>
      </c>
      <c r="M62" s="173" t="b">
        <v>0</v>
      </c>
    </row>
    <row r="63" spans="2:13" ht="50">
      <c r="B63" s="264"/>
      <c r="C63" s="674"/>
      <c r="D63" s="485"/>
      <c r="E63" s="331"/>
      <c r="F63" s="332" t="s">
        <v>573</v>
      </c>
      <c r="G63" s="334"/>
      <c r="H63" s="498"/>
      <c r="I63" s="333"/>
      <c r="J63" s="497"/>
      <c r="K63" s="500"/>
      <c r="L63" s="190"/>
    </row>
    <row r="64" spans="2:13" ht="16.5">
      <c r="B64" s="145"/>
      <c r="C64" s="674"/>
      <c r="D64" s="485"/>
      <c r="E64" s="331"/>
      <c r="F64" s="821"/>
      <c r="G64" s="334"/>
      <c r="H64" s="744"/>
      <c r="I64" s="498"/>
      <c r="J64" s="497"/>
      <c r="K64" s="822"/>
      <c r="L64" s="190"/>
    </row>
    <row r="65" spans="2:13" ht="17.5">
      <c r="B65" s="180"/>
      <c r="C65" s="795" t="s">
        <v>130</v>
      </c>
      <c r="D65" s="791"/>
      <c r="E65" s="792"/>
      <c r="F65" s="797" t="s">
        <v>574</v>
      </c>
      <c r="G65" s="327"/>
      <c r="H65" s="494"/>
      <c r="I65" s="496"/>
      <c r="J65" s="492"/>
      <c r="K65" s="330" t="str">
        <f t="shared" ref="K65" si="9">IF(M65,IF(J65&gt;0,H65*J65,0),"")</f>
        <v/>
      </c>
      <c r="M65" s="173" t="b">
        <v>0</v>
      </c>
    </row>
    <row r="66" spans="2:13" ht="16.5">
      <c r="B66" s="264"/>
      <c r="C66" s="674"/>
      <c r="D66" s="485"/>
      <c r="E66" s="331"/>
      <c r="F66" s="332"/>
      <c r="G66" s="334"/>
      <c r="H66" s="498"/>
      <c r="I66" s="333"/>
      <c r="J66" s="497"/>
      <c r="K66" s="500"/>
      <c r="L66" s="190"/>
    </row>
    <row r="67" spans="2:13" ht="16.5">
      <c r="B67" s="145"/>
      <c r="C67" s="674"/>
      <c r="D67" s="485"/>
      <c r="E67" s="331"/>
      <c r="F67" s="821"/>
      <c r="G67" s="334"/>
      <c r="H67" s="744"/>
      <c r="I67" s="498"/>
      <c r="J67" s="497"/>
      <c r="K67" s="822"/>
      <c r="L67" s="190"/>
    </row>
    <row r="68" spans="2:13" ht="17.5">
      <c r="B68" s="180"/>
      <c r="C68" s="795" t="s">
        <v>138</v>
      </c>
      <c r="D68" s="791"/>
      <c r="E68" s="792"/>
      <c r="F68" s="797" t="s">
        <v>575</v>
      </c>
      <c r="G68" s="327"/>
      <c r="H68" s="494"/>
      <c r="I68" s="496"/>
      <c r="J68" s="492"/>
      <c r="K68" s="330" t="str">
        <f t="shared" si="8"/>
        <v/>
      </c>
      <c r="M68" s="173" t="b">
        <v>0</v>
      </c>
    </row>
    <row r="69" spans="2:13" ht="25">
      <c r="B69" s="264"/>
      <c r="C69" s="674"/>
      <c r="D69" s="485"/>
      <c r="E69" s="331"/>
      <c r="F69" s="332" t="s">
        <v>576</v>
      </c>
      <c r="G69" s="334"/>
      <c r="H69" s="498"/>
      <c r="I69" s="333"/>
      <c r="J69" s="497"/>
      <c r="K69" s="500"/>
      <c r="L69" s="190"/>
    </row>
    <row r="70" spans="2:13" ht="16.5">
      <c r="B70" s="145"/>
      <c r="C70" s="674"/>
      <c r="D70" s="485"/>
      <c r="E70" s="331"/>
      <c r="F70" s="821"/>
      <c r="G70" s="334"/>
      <c r="H70" s="744"/>
      <c r="I70" s="498"/>
      <c r="J70" s="497"/>
      <c r="K70" s="822"/>
      <c r="L70" s="190"/>
    </row>
    <row r="71" spans="2:13" ht="17.5">
      <c r="B71" s="180"/>
      <c r="C71" s="795" t="s">
        <v>139</v>
      </c>
      <c r="D71" s="791"/>
      <c r="E71" s="792"/>
      <c r="F71" s="794"/>
      <c r="G71" s="327"/>
      <c r="H71" s="494"/>
      <c r="I71" s="329"/>
      <c r="J71" s="492"/>
      <c r="K71" s="330" t="str">
        <f t="shared" si="8"/>
        <v/>
      </c>
      <c r="M71" s="173" t="b">
        <v>0</v>
      </c>
    </row>
    <row r="72" spans="2:13" ht="16.5">
      <c r="B72" s="210"/>
      <c r="C72" s="668"/>
      <c r="D72" s="486"/>
      <c r="E72" s="324"/>
      <c r="F72" s="328"/>
      <c r="G72" s="325"/>
      <c r="H72" s="493"/>
      <c r="I72" s="493"/>
      <c r="J72" s="491"/>
      <c r="K72" s="326"/>
      <c r="L72" s="190"/>
    </row>
    <row r="73" spans="2:13" ht="17.5">
      <c r="B73" s="180"/>
      <c r="C73" s="795" t="s">
        <v>140</v>
      </c>
      <c r="D73" s="791"/>
      <c r="E73" s="792"/>
      <c r="F73" s="794"/>
      <c r="G73" s="327"/>
      <c r="H73" s="494"/>
      <c r="I73" s="329"/>
      <c r="J73" s="492"/>
      <c r="K73" s="330" t="str">
        <f t="shared" si="8"/>
        <v/>
      </c>
      <c r="M73" s="173" t="b">
        <v>0</v>
      </c>
    </row>
    <row r="74" spans="2:13" ht="16.5">
      <c r="B74" s="210"/>
      <c r="C74" s="668"/>
      <c r="D74" s="486"/>
      <c r="E74" s="324"/>
      <c r="F74" s="328"/>
      <c r="G74" s="325"/>
      <c r="H74" s="493"/>
      <c r="I74" s="493"/>
      <c r="J74" s="491"/>
      <c r="K74" s="326"/>
      <c r="L74" s="190"/>
    </row>
    <row r="75" spans="2:13" ht="17.5">
      <c r="B75" s="180"/>
      <c r="C75" s="795" t="s">
        <v>141</v>
      </c>
      <c r="D75" s="791"/>
      <c r="E75" s="792"/>
      <c r="F75" s="794"/>
      <c r="G75" s="327"/>
      <c r="H75" s="494"/>
      <c r="I75" s="329"/>
      <c r="J75" s="492"/>
      <c r="K75" s="330" t="str">
        <f t="shared" si="8"/>
        <v/>
      </c>
      <c r="M75" s="173" t="b">
        <v>0</v>
      </c>
    </row>
    <row r="76" spans="2:13" ht="17" thickBot="1">
      <c r="B76" s="210"/>
      <c r="C76" s="668"/>
      <c r="D76" s="486"/>
      <c r="E76" s="324"/>
      <c r="F76" s="328"/>
      <c r="G76" s="325"/>
      <c r="H76" s="493"/>
      <c r="I76" s="493"/>
      <c r="J76" s="491"/>
      <c r="K76" s="326"/>
      <c r="L76" s="190"/>
    </row>
    <row r="77" spans="2:13" ht="22.75" customHeight="1" thickBot="1">
      <c r="B77" s="403"/>
      <c r="C77" s="671" t="s">
        <v>10</v>
      </c>
      <c r="D77" s="404"/>
      <c r="E77" s="410"/>
      <c r="F77" s="411"/>
      <c r="G77" s="412"/>
      <c r="H77" s="411"/>
      <c r="I77" s="411"/>
      <c r="J77" s="413" t="s">
        <v>566</v>
      </c>
      <c r="K77" s="408" t="str">
        <f>IF(OR(Projektgrundlagen!$I$26,Projektgrundlagen!I27),IF(COUNT(K50:K76)&gt;0,SUM(K50:K76),""),0)</f>
        <v/>
      </c>
    </row>
    <row r="78" spans="2:13" ht="7.5" customHeight="1">
      <c r="B78" s="418"/>
      <c r="C78" s="669"/>
      <c r="D78" s="185"/>
      <c r="E78" s="185"/>
      <c r="F78" s="186"/>
      <c r="G78" s="187"/>
      <c r="H78" s="186"/>
      <c r="I78" s="186"/>
      <c r="J78" s="419"/>
      <c r="K78" s="142"/>
    </row>
    <row r="79" spans="2:13" ht="22.75" customHeight="1">
      <c r="B79" s="387" t="s">
        <v>577</v>
      </c>
      <c r="C79" s="388"/>
      <c r="D79" s="388"/>
      <c r="E79" s="388"/>
      <c r="F79" s="388"/>
      <c r="G79" s="388"/>
      <c r="H79" s="397"/>
      <c r="I79" s="397"/>
      <c r="J79" s="401"/>
      <c r="K79" s="409"/>
    </row>
    <row r="80" spans="2:13" ht="17.5">
      <c r="B80" s="181"/>
      <c r="C80" s="795" t="s">
        <v>20</v>
      </c>
      <c r="D80" s="790"/>
      <c r="E80" s="793"/>
      <c r="F80" s="797" t="s">
        <v>579</v>
      </c>
      <c r="G80" s="327"/>
      <c r="H80" s="494"/>
      <c r="I80" s="496"/>
      <c r="J80" s="490"/>
      <c r="K80" s="330" t="str">
        <f>IF(M80,IF(J80&gt;0,H80*J80,0),"")</f>
        <v/>
      </c>
      <c r="M80" s="173" t="b">
        <v>0</v>
      </c>
    </row>
    <row r="81" spans="2:13" ht="16.5">
      <c r="B81" s="264"/>
      <c r="C81" s="674"/>
      <c r="D81" s="485"/>
      <c r="E81" s="331"/>
      <c r="F81" s="332"/>
      <c r="G81" s="334"/>
      <c r="H81" s="744"/>
      <c r="I81" s="498"/>
      <c r="J81" s="497"/>
      <c r="K81" s="500"/>
      <c r="L81" s="190"/>
    </row>
    <row r="82" spans="2:13" ht="16.5">
      <c r="B82" s="145"/>
      <c r="C82" s="674"/>
      <c r="D82" s="485"/>
      <c r="E82" s="324"/>
      <c r="F82" s="821"/>
      <c r="G82" s="334"/>
      <c r="H82" s="744"/>
      <c r="I82" s="498"/>
      <c r="J82" s="497"/>
      <c r="K82" s="822"/>
      <c r="L82" s="190"/>
    </row>
    <row r="83" spans="2:13" ht="17.5">
      <c r="B83" s="181"/>
      <c r="C83" s="795" t="s">
        <v>19</v>
      </c>
      <c r="D83" s="791"/>
      <c r="E83" s="793"/>
      <c r="F83" s="797" t="s">
        <v>580</v>
      </c>
      <c r="G83" s="327"/>
      <c r="H83" s="494"/>
      <c r="I83" s="496"/>
      <c r="J83" s="492"/>
      <c r="K83" s="330" t="str">
        <f t="shared" ref="K83:K120" si="10">IF(M83,IF(J83&gt;0,H83*J83,0),"")</f>
        <v/>
      </c>
      <c r="M83" s="173" t="b">
        <v>0</v>
      </c>
    </row>
    <row r="84" spans="2:13" ht="16.5">
      <c r="B84" s="264"/>
      <c r="C84" s="674"/>
      <c r="D84" s="485"/>
      <c r="E84" s="331"/>
      <c r="F84" s="332" t="s">
        <v>581</v>
      </c>
      <c r="G84" s="334"/>
      <c r="H84" s="744"/>
      <c r="I84" s="498"/>
      <c r="J84" s="497"/>
      <c r="K84" s="500"/>
      <c r="L84" s="190"/>
    </row>
    <row r="85" spans="2:13" ht="16.5">
      <c r="B85" s="145"/>
      <c r="C85" s="674"/>
      <c r="D85" s="485"/>
      <c r="E85" s="324"/>
      <c r="F85" s="821"/>
      <c r="G85" s="334"/>
      <c r="H85" s="744"/>
      <c r="I85" s="498"/>
      <c r="J85" s="497"/>
      <c r="K85" s="822"/>
      <c r="L85" s="190"/>
    </row>
    <row r="86" spans="2:13" ht="17.5">
      <c r="B86" s="181"/>
      <c r="C86" s="795" t="s">
        <v>18</v>
      </c>
      <c r="D86" s="791"/>
      <c r="E86" s="793"/>
      <c r="F86" s="797" t="s">
        <v>582</v>
      </c>
      <c r="G86" s="327"/>
      <c r="H86" s="494"/>
      <c r="I86" s="496"/>
      <c r="J86" s="492"/>
      <c r="K86" s="330" t="str">
        <f t="shared" si="10"/>
        <v/>
      </c>
      <c r="M86" s="173" t="b">
        <v>0</v>
      </c>
    </row>
    <row r="87" spans="2:13" ht="16.5">
      <c r="B87" s="264"/>
      <c r="C87" s="674"/>
      <c r="D87" s="485"/>
      <c r="E87" s="331"/>
      <c r="F87" s="332" t="s">
        <v>583</v>
      </c>
      <c r="G87" s="334"/>
      <c r="H87" s="744"/>
      <c r="I87" s="498"/>
      <c r="J87" s="497"/>
      <c r="K87" s="500"/>
      <c r="L87" s="190"/>
    </row>
    <row r="88" spans="2:13" ht="16.5">
      <c r="B88" s="145"/>
      <c r="C88" s="674"/>
      <c r="D88" s="485"/>
      <c r="E88" s="324"/>
      <c r="F88" s="821"/>
      <c r="G88" s="334"/>
      <c r="H88" s="744"/>
      <c r="I88" s="498"/>
      <c r="J88" s="497"/>
      <c r="K88" s="822"/>
      <c r="L88" s="190"/>
    </row>
    <row r="89" spans="2:13" ht="17.5">
      <c r="B89" s="182"/>
      <c r="C89" s="795" t="s">
        <v>131</v>
      </c>
      <c r="D89" s="791"/>
      <c r="E89" s="793"/>
      <c r="F89" s="797" t="s">
        <v>584</v>
      </c>
      <c r="G89" s="327"/>
      <c r="H89" s="494"/>
      <c r="I89" s="496"/>
      <c r="J89" s="492"/>
      <c r="K89" s="330" t="str">
        <f t="shared" si="10"/>
        <v/>
      </c>
      <c r="M89" s="173" t="b">
        <v>0</v>
      </c>
    </row>
    <row r="90" spans="2:13" ht="50">
      <c r="B90" s="264"/>
      <c r="C90" s="674"/>
      <c r="D90" s="485"/>
      <c r="E90" s="331"/>
      <c r="F90" s="332" t="s">
        <v>585</v>
      </c>
      <c r="G90" s="334"/>
      <c r="H90" s="744"/>
      <c r="I90" s="498"/>
      <c r="J90" s="497"/>
      <c r="K90" s="500"/>
      <c r="L90" s="190"/>
    </row>
    <row r="91" spans="2:13" ht="16.5">
      <c r="B91" s="145"/>
      <c r="C91" s="674"/>
      <c r="D91" s="485"/>
      <c r="E91" s="324"/>
      <c r="F91" s="821"/>
      <c r="G91" s="334"/>
      <c r="H91" s="744"/>
      <c r="I91" s="498"/>
      <c r="J91" s="497"/>
      <c r="K91" s="822"/>
      <c r="L91" s="190"/>
    </row>
    <row r="92" spans="2:13" ht="17.5">
      <c r="B92" s="181"/>
      <c r="C92" s="795" t="s">
        <v>132</v>
      </c>
      <c r="D92" s="791"/>
      <c r="E92" s="793"/>
      <c r="F92" s="797" t="s">
        <v>586</v>
      </c>
      <c r="G92" s="327"/>
      <c r="H92" s="494"/>
      <c r="I92" s="496"/>
      <c r="J92" s="492"/>
      <c r="K92" s="330" t="str">
        <f t="shared" ref="K92" si="11">IF(M92,IF(J92&gt;0,H92*J92,0),"")</f>
        <v/>
      </c>
      <c r="M92" s="173" t="b">
        <v>0</v>
      </c>
    </row>
    <row r="93" spans="2:13" ht="37.5">
      <c r="B93" s="264"/>
      <c r="C93" s="674"/>
      <c r="D93" s="485"/>
      <c r="E93" s="331"/>
      <c r="F93" s="332" t="s">
        <v>587</v>
      </c>
      <c r="G93" s="334"/>
      <c r="H93" s="744"/>
      <c r="I93" s="498"/>
      <c r="J93" s="497"/>
      <c r="K93" s="500"/>
      <c r="L93" s="190"/>
    </row>
    <row r="94" spans="2:13" ht="16.5">
      <c r="B94" s="145"/>
      <c r="C94" s="674"/>
      <c r="D94" s="485"/>
      <c r="E94" s="324"/>
      <c r="F94" s="821"/>
      <c r="G94" s="334"/>
      <c r="H94" s="744"/>
      <c r="I94" s="498"/>
      <c r="J94" s="497"/>
      <c r="K94" s="822"/>
      <c r="L94" s="190"/>
    </row>
    <row r="95" spans="2:13" ht="17.5">
      <c r="B95" s="181"/>
      <c r="C95" s="795" t="s">
        <v>133</v>
      </c>
      <c r="D95" s="791"/>
      <c r="E95" s="793"/>
      <c r="F95" s="797" t="s">
        <v>588</v>
      </c>
      <c r="G95" s="327"/>
      <c r="H95" s="494"/>
      <c r="I95" s="496"/>
      <c r="J95" s="492"/>
      <c r="K95" s="330" t="str">
        <f t="shared" ref="K95" si="12">IF(M95,IF(J95&gt;0,H95*J95,0),"")</f>
        <v/>
      </c>
      <c r="M95" s="173" t="b">
        <v>0</v>
      </c>
    </row>
    <row r="96" spans="2:13" ht="16.5">
      <c r="B96" s="264"/>
      <c r="C96" s="674"/>
      <c r="D96" s="485"/>
      <c r="E96" s="331"/>
      <c r="F96" s="332"/>
      <c r="G96" s="334"/>
      <c r="H96" s="744"/>
      <c r="I96" s="498"/>
      <c r="J96" s="497"/>
      <c r="K96" s="500"/>
      <c r="L96" s="190"/>
    </row>
    <row r="97" spans="2:13" ht="16.5">
      <c r="B97" s="145"/>
      <c r="C97" s="674"/>
      <c r="D97" s="485"/>
      <c r="E97" s="324"/>
      <c r="F97" s="821"/>
      <c r="G97" s="334"/>
      <c r="H97" s="744"/>
      <c r="I97" s="498"/>
      <c r="J97" s="497"/>
      <c r="K97" s="822"/>
      <c r="L97" s="190"/>
    </row>
    <row r="98" spans="2:13" ht="17.5">
      <c r="B98" s="182"/>
      <c r="C98" s="795" t="s">
        <v>142</v>
      </c>
      <c r="D98" s="791"/>
      <c r="E98" s="793"/>
      <c r="F98" s="797" t="s">
        <v>589</v>
      </c>
      <c r="G98" s="327"/>
      <c r="H98" s="494"/>
      <c r="I98" s="496"/>
      <c r="J98" s="492"/>
      <c r="K98" s="330" t="str">
        <f t="shared" ref="K98" si="13">IF(M98,IF(J98&gt;0,H98*J98,0),"")</f>
        <v/>
      </c>
      <c r="M98" s="173" t="b">
        <v>0</v>
      </c>
    </row>
    <row r="99" spans="2:13" ht="16.5">
      <c r="B99" s="264"/>
      <c r="C99" s="674"/>
      <c r="D99" s="485"/>
      <c r="E99" s="331"/>
      <c r="F99" s="332"/>
      <c r="G99" s="334"/>
      <c r="H99" s="744"/>
      <c r="I99" s="498"/>
      <c r="J99" s="497"/>
      <c r="K99" s="500"/>
      <c r="L99" s="190"/>
    </row>
    <row r="100" spans="2:13" ht="16.5">
      <c r="B100" s="145"/>
      <c r="C100" s="674"/>
      <c r="D100" s="485"/>
      <c r="E100" s="324"/>
      <c r="F100" s="821"/>
      <c r="G100" s="334"/>
      <c r="H100" s="744"/>
      <c r="I100" s="498"/>
      <c r="J100" s="497"/>
      <c r="K100" s="822"/>
      <c r="L100" s="190"/>
    </row>
    <row r="101" spans="2:13" ht="17.5">
      <c r="B101" s="181"/>
      <c r="C101" s="795" t="s">
        <v>143</v>
      </c>
      <c r="D101" s="791"/>
      <c r="E101" s="793"/>
      <c r="F101" s="797" t="s">
        <v>590</v>
      </c>
      <c r="G101" s="327"/>
      <c r="H101" s="494"/>
      <c r="I101" s="496"/>
      <c r="J101" s="492"/>
      <c r="K101" s="330" t="str">
        <f t="shared" ref="K101" si="14">IF(M101,IF(J101&gt;0,H101*J101,0),"")</f>
        <v/>
      </c>
      <c r="M101" s="173" t="b">
        <v>0</v>
      </c>
    </row>
    <row r="102" spans="2:13" ht="16.5">
      <c r="B102" s="264"/>
      <c r="C102" s="674"/>
      <c r="D102" s="485"/>
      <c r="E102" s="331"/>
      <c r="F102" s="332" t="s">
        <v>591</v>
      </c>
      <c r="G102" s="334"/>
      <c r="H102" s="744"/>
      <c r="I102" s="498"/>
      <c r="J102" s="497"/>
      <c r="K102" s="500"/>
      <c r="L102" s="190"/>
    </row>
    <row r="103" spans="2:13" ht="16.5">
      <c r="B103" s="145"/>
      <c r="C103" s="674"/>
      <c r="D103" s="485"/>
      <c r="E103" s="324"/>
      <c r="F103" s="821"/>
      <c r="G103" s="334"/>
      <c r="H103" s="744"/>
      <c r="I103" s="498"/>
      <c r="J103" s="497"/>
      <c r="K103" s="822"/>
      <c r="L103" s="190"/>
    </row>
    <row r="104" spans="2:13" ht="17.5">
      <c r="B104" s="181"/>
      <c r="C104" s="795" t="s">
        <v>144</v>
      </c>
      <c r="D104" s="791"/>
      <c r="E104" s="793"/>
      <c r="F104" s="797" t="s">
        <v>592</v>
      </c>
      <c r="G104" s="327"/>
      <c r="H104" s="494"/>
      <c r="I104" s="496"/>
      <c r="J104" s="492"/>
      <c r="K104" s="330" t="str">
        <f t="shared" ref="K104" si="15">IF(M104,IF(J104&gt;0,H104*J104,0),"")</f>
        <v/>
      </c>
      <c r="M104" s="173" t="b">
        <v>0</v>
      </c>
    </row>
    <row r="105" spans="2:13" ht="16.5">
      <c r="B105" s="264"/>
      <c r="C105" s="674"/>
      <c r="D105" s="485"/>
      <c r="E105" s="331"/>
      <c r="F105" s="332" t="s">
        <v>591</v>
      </c>
      <c r="G105" s="334"/>
      <c r="H105" s="744"/>
      <c r="I105" s="498"/>
      <c r="J105" s="497"/>
      <c r="K105" s="500"/>
      <c r="L105" s="190"/>
    </row>
    <row r="106" spans="2:13" ht="16.5">
      <c r="B106" s="145"/>
      <c r="C106" s="674"/>
      <c r="D106" s="485"/>
      <c r="E106" s="324"/>
      <c r="F106" s="821"/>
      <c r="G106" s="334"/>
      <c r="H106" s="744"/>
      <c r="I106" s="498"/>
      <c r="J106" s="497"/>
      <c r="K106" s="822"/>
      <c r="L106" s="190"/>
    </row>
    <row r="107" spans="2:13" ht="17.5">
      <c r="B107" s="182"/>
      <c r="C107" s="795" t="s">
        <v>145</v>
      </c>
      <c r="D107" s="791"/>
      <c r="E107" s="793"/>
      <c r="F107" s="797" t="s">
        <v>593</v>
      </c>
      <c r="G107" s="327"/>
      <c r="H107" s="494"/>
      <c r="I107" s="496"/>
      <c r="J107" s="492"/>
      <c r="K107" s="330" t="str">
        <f t="shared" ref="K107" si="16">IF(M107,IF(J107&gt;0,H107*J107,0),"")</f>
        <v/>
      </c>
      <c r="M107" s="173" t="b">
        <v>0</v>
      </c>
    </row>
    <row r="108" spans="2:13" ht="37.5">
      <c r="B108" s="264"/>
      <c r="C108" s="674"/>
      <c r="D108" s="485"/>
      <c r="E108" s="331"/>
      <c r="F108" s="332" t="s">
        <v>594</v>
      </c>
      <c r="G108" s="334"/>
      <c r="H108" s="744"/>
      <c r="I108" s="498"/>
      <c r="J108" s="497"/>
      <c r="K108" s="500"/>
      <c r="L108" s="190"/>
    </row>
    <row r="109" spans="2:13" ht="16.5">
      <c r="B109" s="145"/>
      <c r="C109" s="674"/>
      <c r="D109" s="485"/>
      <c r="E109" s="324"/>
      <c r="F109" s="821"/>
      <c r="G109" s="334"/>
      <c r="H109" s="744"/>
      <c r="I109" s="498"/>
      <c r="J109" s="497"/>
      <c r="K109" s="822"/>
      <c r="L109" s="190"/>
    </row>
    <row r="110" spans="2:13" ht="17.5">
      <c r="B110" s="181"/>
      <c r="C110" s="795" t="s">
        <v>293</v>
      </c>
      <c r="D110" s="791"/>
      <c r="E110" s="793"/>
      <c r="F110" s="797" t="s">
        <v>595</v>
      </c>
      <c r="G110" s="327"/>
      <c r="H110" s="494"/>
      <c r="I110" s="496"/>
      <c r="J110" s="492"/>
      <c r="K110" s="330" t="str">
        <f t="shared" ref="K110" si="17">IF(M110,IF(J110&gt;0,H110*J110,0),"")</f>
        <v/>
      </c>
      <c r="M110" s="173" t="b">
        <v>0</v>
      </c>
    </row>
    <row r="111" spans="2:13" ht="50">
      <c r="B111" s="264"/>
      <c r="C111" s="674"/>
      <c r="D111" s="485"/>
      <c r="E111" s="331"/>
      <c r="F111" s="332" t="s">
        <v>596</v>
      </c>
      <c r="G111" s="334"/>
      <c r="H111" s="744"/>
      <c r="I111" s="498"/>
      <c r="J111" s="497"/>
      <c r="K111" s="500"/>
      <c r="L111" s="190"/>
    </row>
    <row r="112" spans="2:13" ht="16.5">
      <c r="B112" s="145"/>
      <c r="C112" s="674"/>
      <c r="D112" s="485"/>
      <c r="E112" s="324"/>
      <c r="F112" s="821"/>
      <c r="G112" s="334"/>
      <c r="H112" s="744"/>
      <c r="I112" s="498"/>
      <c r="J112" s="497"/>
      <c r="K112" s="822"/>
      <c r="L112" s="190"/>
    </row>
    <row r="113" spans="2:13" ht="17.5">
      <c r="B113" s="181"/>
      <c r="C113" s="795" t="s">
        <v>294</v>
      </c>
      <c r="D113" s="791"/>
      <c r="E113" s="793"/>
      <c r="F113" s="797" t="s">
        <v>598</v>
      </c>
      <c r="G113" s="327"/>
      <c r="H113" s="494"/>
      <c r="I113" s="496"/>
      <c r="J113" s="492"/>
      <c r="K113" s="330" t="str">
        <f t="shared" ref="K113" si="18">IF(M113,IF(J113&gt;0,H113*J113,0),"")</f>
        <v/>
      </c>
      <c r="M113" s="173" t="b">
        <v>0</v>
      </c>
    </row>
    <row r="114" spans="2:13" ht="16.5">
      <c r="B114" s="264"/>
      <c r="C114" s="674"/>
      <c r="D114" s="485"/>
      <c r="E114" s="331"/>
      <c r="F114" s="332" t="s">
        <v>597</v>
      </c>
      <c r="G114" s="334"/>
      <c r="H114" s="744"/>
      <c r="I114" s="498"/>
      <c r="J114" s="497"/>
      <c r="K114" s="500"/>
      <c r="L114" s="190"/>
    </row>
    <row r="115" spans="2:13" ht="16.5">
      <c r="B115" s="145"/>
      <c r="C115" s="674"/>
      <c r="D115" s="485"/>
      <c r="E115" s="324"/>
      <c r="F115" s="821"/>
      <c r="G115" s="334"/>
      <c r="H115" s="744"/>
      <c r="I115" s="498"/>
      <c r="J115" s="497"/>
      <c r="K115" s="822"/>
      <c r="L115" s="190"/>
    </row>
    <row r="116" spans="2:13" ht="17.5">
      <c r="B116" s="182"/>
      <c r="C116" s="796" t="s">
        <v>295</v>
      </c>
      <c r="D116" s="791"/>
      <c r="E116" s="793"/>
      <c r="F116" s="794"/>
      <c r="G116" s="327"/>
      <c r="H116" s="494"/>
      <c r="I116" s="496"/>
      <c r="J116" s="492"/>
      <c r="K116" s="330" t="str">
        <f t="shared" ref="K116" si="19">IF(M116,IF(J116&gt;0,H116*J116,0),"")</f>
        <v/>
      </c>
      <c r="M116" s="173" t="b">
        <v>0</v>
      </c>
    </row>
    <row r="117" spans="2:13" ht="16.5">
      <c r="B117" s="210"/>
      <c r="C117" s="668"/>
      <c r="D117" s="486"/>
      <c r="E117" s="324"/>
      <c r="F117" s="328"/>
      <c r="G117" s="325"/>
      <c r="H117" s="493"/>
      <c r="I117" s="495"/>
      <c r="J117" s="491"/>
      <c r="K117" s="326"/>
      <c r="L117" s="190"/>
    </row>
    <row r="118" spans="2:13" ht="17.5">
      <c r="B118" s="183"/>
      <c r="C118" s="796" t="s">
        <v>296</v>
      </c>
      <c r="D118" s="791"/>
      <c r="E118" s="793"/>
      <c r="F118" s="794"/>
      <c r="G118" s="327"/>
      <c r="H118" s="494"/>
      <c r="I118" s="496"/>
      <c r="J118" s="492"/>
      <c r="K118" s="330" t="str">
        <f t="shared" si="10"/>
        <v/>
      </c>
      <c r="M118" s="173" t="b">
        <v>0</v>
      </c>
    </row>
    <row r="119" spans="2:13" ht="16.5">
      <c r="B119" s="210"/>
      <c r="C119" s="668"/>
      <c r="D119" s="486"/>
      <c r="E119" s="324"/>
      <c r="F119" s="328"/>
      <c r="G119" s="325"/>
      <c r="H119" s="493"/>
      <c r="I119" s="495"/>
      <c r="J119" s="491"/>
      <c r="K119" s="326"/>
      <c r="L119" s="190"/>
    </row>
    <row r="120" spans="2:13" ht="17.5">
      <c r="B120" s="183"/>
      <c r="C120" s="796" t="s">
        <v>297</v>
      </c>
      <c r="D120" s="791"/>
      <c r="E120" s="793"/>
      <c r="F120" s="794"/>
      <c r="G120" s="327"/>
      <c r="H120" s="494"/>
      <c r="I120" s="496"/>
      <c r="J120" s="492"/>
      <c r="K120" s="330" t="str">
        <f t="shared" si="10"/>
        <v/>
      </c>
      <c r="M120" s="173" t="b">
        <v>0</v>
      </c>
    </row>
    <row r="121" spans="2:13" ht="17" thickBot="1">
      <c r="B121" s="210"/>
      <c r="C121" s="668"/>
      <c r="D121" s="486"/>
      <c r="E121" s="324"/>
      <c r="F121" s="328"/>
      <c r="G121" s="325"/>
      <c r="H121" s="493"/>
      <c r="I121" s="495"/>
      <c r="J121" s="491"/>
      <c r="K121" s="326"/>
      <c r="L121" s="190"/>
    </row>
    <row r="122" spans="2:13" ht="22.75" customHeight="1" thickBot="1">
      <c r="B122" s="403"/>
      <c r="C122" s="673" t="s">
        <v>10</v>
      </c>
      <c r="D122" s="404"/>
      <c r="E122" s="405"/>
      <c r="F122" s="323"/>
      <c r="G122" s="406"/>
      <c r="H122" s="323"/>
      <c r="I122" s="323"/>
      <c r="J122" s="407" t="s">
        <v>578</v>
      </c>
      <c r="K122" s="408" t="str">
        <f>IF(OR(Projektgrundlagen!$I$26,Projektgrundlagen!I27),IF(COUNT(K80:K121)&gt;0,SUM(K80:K121),""),0)</f>
        <v/>
      </c>
    </row>
    <row r="123" spans="2:13" ht="7.5" customHeight="1">
      <c r="B123" s="192"/>
      <c r="C123" s="672"/>
      <c r="D123" s="177"/>
      <c r="E123" s="177"/>
      <c r="F123" s="167"/>
      <c r="G123" s="178"/>
      <c r="H123" s="167"/>
      <c r="I123" s="167"/>
      <c r="J123" s="170"/>
      <c r="K123" s="193"/>
    </row>
    <row r="124" spans="2:13" ht="22.75" customHeight="1">
      <c r="B124" s="387" t="s">
        <v>542</v>
      </c>
      <c r="C124" s="388"/>
      <c r="D124" s="388"/>
      <c r="E124" s="388"/>
      <c r="F124" s="388"/>
      <c r="G124" s="415"/>
      <c r="H124" s="397"/>
      <c r="I124" s="397"/>
      <c r="J124" s="401"/>
      <c r="K124" s="409"/>
    </row>
    <row r="125" spans="2:13" ht="17.5">
      <c r="B125" s="184"/>
      <c r="C125" s="795" t="s">
        <v>17</v>
      </c>
      <c r="D125" s="790"/>
      <c r="E125" s="793"/>
      <c r="F125" s="797" t="s">
        <v>599</v>
      </c>
      <c r="G125" s="327"/>
      <c r="H125" s="494">
        <v>1</v>
      </c>
      <c r="I125" s="329" t="s">
        <v>658</v>
      </c>
      <c r="J125" s="490"/>
      <c r="K125" s="330">
        <f>IF(M125,IF(J125&gt;0,H125*J125,0),"")</f>
        <v>0</v>
      </c>
      <c r="M125" s="173" t="b">
        <v>1</v>
      </c>
    </row>
    <row r="126" spans="2:13" ht="37.5">
      <c r="B126" s="264"/>
      <c r="C126" s="674"/>
      <c r="D126" s="485"/>
      <c r="E126" s="331"/>
      <c r="F126" s="332" t="s">
        <v>600</v>
      </c>
      <c r="G126" s="334"/>
      <c r="H126" s="744"/>
      <c r="I126" s="744"/>
      <c r="J126" s="497"/>
      <c r="K126" s="500"/>
      <c r="L126" s="190"/>
    </row>
    <row r="127" spans="2:13" ht="16.5">
      <c r="B127" s="145"/>
      <c r="C127" s="674"/>
      <c r="D127" s="485"/>
      <c r="E127" s="324"/>
      <c r="F127" s="821"/>
      <c r="G127" s="334"/>
      <c r="H127" s="744"/>
      <c r="I127" s="498"/>
      <c r="J127" s="497"/>
      <c r="K127" s="822"/>
      <c r="L127" s="190"/>
    </row>
    <row r="128" spans="2:13" ht="16.5" customHeight="1">
      <c r="B128" s="176"/>
      <c r="C128" s="795" t="s">
        <v>146</v>
      </c>
      <c r="D128" s="791"/>
      <c r="E128" s="793"/>
      <c r="F128" s="797" t="s">
        <v>601</v>
      </c>
      <c r="G128" s="327"/>
      <c r="H128" s="494"/>
      <c r="I128" s="329"/>
      <c r="J128" s="492"/>
      <c r="K128" s="330" t="str">
        <f t="shared" ref="K128:K134" si="20">IF(M128,IF(J128&gt;0,H128*J128,0),"")</f>
        <v/>
      </c>
      <c r="M128" s="173" t="b">
        <v>0</v>
      </c>
    </row>
    <row r="129" spans="2:13" ht="37.5">
      <c r="B129" s="264"/>
      <c r="C129" s="674"/>
      <c r="D129" s="485"/>
      <c r="E129" s="331"/>
      <c r="F129" s="332" t="s">
        <v>602</v>
      </c>
      <c r="G129" s="334"/>
      <c r="H129" s="744"/>
      <c r="I129" s="744"/>
      <c r="J129" s="497"/>
      <c r="K129" s="500"/>
      <c r="L129" s="190"/>
    </row>
    <row r="130" spans="2:13" ht="16.5">
      <c r="B130" s="145"/>
      <c r="C130" s="674"/>
      <c r="D130" s="485"/>
      <c r="E130" s="324"/>
      <c r="F130" s="821"/>
      <c r="G130" s="334"/>
      <c r="H130" s="744"/>
      <c r="I130" s="498"/>
      <c r="J130" s="497"/>
      <c r="K130" s="822"/>
      <c r="L130" s="190"/>
    </row>
    <row r="131" spans="2:13" ht="17.5">
      <c r="B131" s="176"/>
      <c r="C131" s="795" t="s">
        <v>31</v>
      </c>
      <c r="D131" s="791"/>
      <c r="E131" s="793"/>
      <c r="F131" s="797" t="s">
        <v>603</v>
      </c>
      <c r="G131" s="327"/>
      <c r="H131" s="494"/>
      <c r="I131" s="329"/>
      <c r="J131" s="492"/>
      <c r="K131" s="330" t="str">
        <f t="shared" si="20"/>
        <v/>
      </c>
      <c r="M131" s="173" t="b">
        <v>0</v>
      </c>
    </row>
    <row r="132" spans="2:13" ht="25">
      <c r="B132" s="264"/>
      <c r="C132" s="674"/>
      <c r="D132" s="485"/>
      <c r="E132" s="331"/>
      <c r="F132" s="332" t="s">
        <v>604</v>
      </c>
      <c r="G132" s="334"/>
      <c r="H132" s="744"/>
      <c r="I132" s="744"/>
      <c r="J132" s="497"/>
      <c r="K132" s="500"/>
      <c r="L132" s="190"/>
    </row>
    <row r="133" spans="2:13" ht="16.5">
      <c r="B133" s="145"/>
      <c r="C133" s="674"/>
      <c r="D133" s="485"/>
      <c r="E133" s="324"/>
      <c r="F133" s="821"/>
      <c r="G133" s="334"/>
      <c r="H133" s="744"/>
      <c r="I133" s="498"/>
      <c r="J133" s="497"/>
      <c r="K133" s="822"/>
      <c r="L133" s="190"/>
    </row>
    <row r="134" spans="2:13" ht="17.5">
      <c r="B134" s="176"/>
      <c r="C134" s="795" t="s">
        <v>147</v>
      </c>
      <c r="D134" s="791"/>
      <c r="E134" s="793"/>
      <c r="F134" s="797" t="s">
        <v>605</v>
      </c>
      <c r="G134" s="327"/>
      <c r="H134" s="494"/>
      <c r="I134" s="329"/>
      <c r="J134" s="492"/>
      <c r="K134" s="330" t="str">
        <f t="shared" si="20"/>
        <v/>
      </c>
      <c r="M134" s="173" t="b">
        <v>0</v>
      </c>
    </row>
    <row r="135" spans="2:13" ht="16.5">
      <c r="B135" s="264"/>
      <c r="C135" s="674"/>
      <c r="D135" s="485"/>
      <c r="E135" s="331"/>
      <c r="F135" s="332" t="s">
        <v>606</v>
      </c>
      <c r="G135" s="334"/>
      <c r="H135" s="744"/>
      <c r="I135" s="744"/>
      <c r="J135" s="497"/>
      <c r="K135" s="500"/>
      <c r="L135" s="190"/>
    </row>
    <row r="136" spans="2:13" ht="16.5">
      <c r="B136" s="145"/>
      <c r="C136" s="674"/>
      <c r="D136" s="485"/>
      <c r="E136" s="324"/>
      <c r="F136" s="821"/>
      <c r="G136" s="334"/>
      <c r="H136" s="744"/>
      <c r="I136" s="498"/>
      <c r="J136" s="497"/>
      <c r="K136" s="822"/>
      <c r="L136" s="190"/>
    </row>
    <row r="137" spans="2:13" ht="17.5">
      <c r="B137" s="176"/>
      <c r="C137" s="795" t="s">
        <v>148</v>
      </c>
      <c r="D137" s="791"/>
      <c r="E137" s="793"/>
      <c r="F137" s="797" t="s">
        <v>607</v>
      </c>
      <c r="G137" s="327"/>
      <c r="H137" s="494"/>
      <c r="I137" s="329"/>
      <c r="J137" s="492"/>
      <c r="K137" s="330" t="str">
        <f t="shared" ref="K137" si="21">IF(M137,IF(J137&gt;0,H137*J137,0),"")</f>
        <v/>
      </c>
      <c r="M137" s="173" t="b">
        <v>0</v>
      </c>
    </row>
    <row r="138" spans="2:13" ht="16.5">
      <c r="B138" s="264"/>
      <c r="C138" s="674"/>
      <c r="D138" s="485"/>
      <c r="E138" s="331"/>
      <c r="F138" s="332"/>
      <c r="G138" s="334"/>
      <c r="H138" s="744"/>
      <c r="I138" s="744"/>
      <c r="J138" s="497"/>
      <c r="K138" s="500"/>
      <c r="L138" s="190"/>
    </row>
    <row r="139" spans="2:13" ht="16.5">
      <c r="B139" s="145"/>
      <c r="C139" s="674"/>
      <c r="D139" s="485"/>
      <c r="E139" s="324"/>
      <c r="F139" s="821"/>
      <c r="G139" s="334"/>
      <c r="H139" s="744"/>
      <c r="I139" s="498"/>
      <c r="J139" s="497"/>
      <c r="K139" s="822"/>
      <c r="L139" s="190"/>
    </row>
    <row r="140" spans="2:13" ht="17.5">
      <c r="B140" s="176"/>
      <c r="C140" s="795" t="s">
        <v>250</v>
      </c>
      <c r="D140" s="791"/>
      <c r="E140" s="793"/>
      <c r="F140" s="797" t="s">
        <v>611</v>
      </c>
      <c r="G140" s="327"/>
      <c r="H140" s="494"/>
      <c r="I140" s="329"/>
      <c r="J140" s="492"/>
      <c r="K140" s="330" t="str">
        <f t="shared" ref="K140" si="22">IF(M140,IF(J140&gt;0,H140*J140,0),"")</f>
        <v/>
      </c>
      <c r="M140" s="173" t="b">
        <v>0</v>
      </c>
    </row>
    <row r="141" spans="2:13" ht="16.5">
      <c r="B141" s="264"/>
      <c r="C141" s="674"/>
      <c r="D141" s="485"/>
      <c r="E141" s="331"/>
      <c r="F141" s="332"/>
      <c r="G141" s="334"/>
      <c r="H141" s="744"/>
      <c r="I141" s="744"/>
      <c r="J141" s="497"/>
      <c r="K141" s="500"/>
      <c r="L141" s="190"/>
    </row>
    <row r="142" spans="2:13" ht="16.5">
      <c r="B142" s="145"/>
      <c r="C142" s="674"/>
      <c r="D142" s="485"/>
      <c r="E142" s="324"/>
      <c r="F142" s="821"/>
      <c r="G142" s="334"/>
      <c r="H142" s="744"/>
      <c r="I142" s="498"/>
      <c r="J142" s="497"/>
      <c r="K142" s="822"/>
      <c r="L142" s="190"/>
    </row>
    <row r="143" spans="2:13" ht="17.5">
      <c r="B143" s="176"/>
      <c r="C143" s="795" t="s">
        <v>298</v>
      </c>
      <c r="D143" s="791"/>
      <c r="E143" s="793"/>
      <c r="F143" s="797" t="s">
        <v>612</v>
      </c>
      <c r="G143" s="327"/>
      <c r="H143" s="494"/>
      <c r="I143" s="329"/>
      <c r="J143" s="492"/>
      <c r="K143" s="330" t="str">
        <f t="shared" ref="K143" si="23">IF(M143,IF(J143&gt;0,H143*J143,0),"")</f>
        <v/>
      </c>
      <c r="M143" s="173" t="b">
        <v>0</v>
      </c>
    </row>
    <row r="144" spans="2:13" ht="25">
      <c r="B144" s="264"/>
      <c r="C144" s="674"/>
      <c r="D144" s="485"/>
      <c r="E144" s="331"/>
      <c r="F144" s="332" t="s">
        <v>613</v>
      </c>
      <c r="G144" s="334"/>
      <c r="H144" s="744"/>
      <c r="I144" s="744"/>
      <c r="J144" s="497"/>
      <c r="K144" s="500"/>
      <c r="L144" s="190"/>
    </row>
    <row r="145" spans="2:13" ht="16.5">
      <c r="B145" s="145"/>
      <c r="C145" s="674"/>
      <c r="D145" s="485"/>
      <c r="E145" s="324"/>
      <c r="F145" s="821"/>
      <c r="G145" s="334"/>
      <c r="H145" s="744"/>
      <c r="I145" s="498"/>
      <c r="J145" s="497"/>
      <c r="K145" s="822"/>
      <c r="L145" s="190"/>
    </row>
    <row r="146" spans="2:13" ht="17.5">
      <c r="B146" s="176"/>
      <c r="C146" s="795" t="s">
        <v>299</v>
      </c>
      <c r="D146" s="791"/>
      <c r="E146" s="793"/>
      <c r="F146" s="797" t="s">
        <v>614</v>
      </c>
      <c r="G146" s="327"/>
      <c r="H146" s="494"/>
      <c r="I146" s="329"/>
      <c r="J146" s="492"/>
      <c r="K146" s="330" t="str">
        <f t="shared" ref="K146" si="24">IF(M146,IF(J146&gt;0,H146*J146,0),"")</f>
        <v/>
      </c>
      <c r="M146" s="173" t="b">
        <v>0</v>
      </c>
    </row>
    <row r="147" spans="2:13" ht="16.5">
      <c r="B147" s="264"/>
      <c r="C147" s="674"/>
      <c r="D147" s="485"/>
      <c r="E147" s="331"/>
      <c r="F147" s="332" t="s">
        <v>615</v>
      </c>
      <c r="G147" s="334"/>
      <c r="H147" s="744"/>
      <c r="I147" s="744"/>
      <c r="J147" s="497"/>
      <c r="K147" s="500"/>
      <c r="L147" s="190"/>
    </row>
    <row r="148" spans="2:13" ht="16.5">
      <c r="B148" s="145"/>
      <c r="C148" s="674"/>
      <c r="D148" s="485"/>
      <c r="E148" s="324"/>
      <c r="F148" s="821"/>
      <c r="G148" s="334"/>
      <c r="H148" s="744"/>
      <c r="I148" s="498"/>
      <c r="J148" s="497"/>
      <c r="K148" s="822"/>
      <c r="L148" s="190"/>
    </row>
    <row r="149" spans="2:13" ht="17.5">
      <c r="B149" s="176"/>
      <c r="C149" s="795" t="s">
        <v>300</v>
      </c>
      <c r="D149" s="791"/>
      <c r="E149" s="793"/>
      <c r="F149" s="797" t="s">
        <v>616</v>
      </c>
      <c r="G149" s="327"/>
      <c r="H149" s="494"/>
      <c r="I149" s="329"/>
      <c r="J149" s="492"/>
      <c r="K149" s="330" t="str">
        <f t="shared" ref="K149" si="25">IF(M149,IF(J149&gt;0,H149*J149,0),"")</f>
        <v/>
      </c>
      <c r="M149" s="173" t="b">
        <v>0</v>
      </c>
    </row>
    <row r="150" spans="2:13" ht="37.5">
      <c r="B150" s="264"/>
      <c r="C150" s="674"/>
      <c r="D150" s="485"/>
      <c r="E150" s="331"/>
      <c r="F150" s="332" t="s">
        <v>617</v>
      </c>
      <c r="G150" s="334"/>
      <c r="H150" s="744"/>
      <c r="I150" s="744"/>
      <c r="J150" s="497"/>
      <c r="K150" s="500"/>
      <c r="L150" s="190"/>
    </row>
    <row r="151" spans="2:13" ht="16.5">
      <c r="B151" s="145"/>
      <c r="C151" s="674"/>
      <c r="D151" s="485"/>
      <c r="E151" s="324"/>
      <c r="F151" s="821"/>
      <c r="G151" s="334"/>
      <c r="H151" s="744"/>
      <c r="I151" s="498"/>
      <c r="J151" s="497"/>
      <c r="K151" s="822"/>
      <c r="L151" s="190"/>
    </row>
    <row r="152" spans="2:13" ht="17.5">
      <c r="B152" s="176"/>
      <c r="C152" s="795" t="s">
        <v>271</v>
      </c>
      <c r="D152" s="791"/>
      <c r="E152" s="793"/>
      <c r="F152" s="797" t="s">
        <v>618</v>
      </c>
      <c r="G152" s="327"/>
      <c r="H152" s="494"/>
      <c r="I152" s="329"/>
      <c r="J152" s="492"/>
      <c r="K152" s="330" t="str">
        <f t="shared" ref="K152" si="26">IF(M152,IF(J152&gt;0,H152*J152,0),"")</f>
        <v/>
      </c>
      <c r="M152" s="173" t="b">
        <v>0</v>
      </c>
    </row>
    <row r="153" spans="2:13" ht="16.5">
      <c r="B153" s="264"/>
      <c r="C153" s="674"/>
      <c r="D153" s="485"/>
      <c r="E153" s="331"/>
      <c r="F153" s="332" t="s">
        <v>619</v>
      </c>
      <c r="G153" s="334"/>
      <c r="H153" s="744"/>
      <c r="I153" s="744"/>
      <c r="J153" s="497"/>
      <c r="K153" s="500"/>
      <c r="L153" s="190"/>
    </row>
    <row r="154" spans="2:13" ht="16.5">
      <c r="B154" s="145"/>
      <c r="C154" s="674"/>
      <c r="D154" s="485"/>
      <c r="E154" s="324"/>
      <c r="F154" s="821"/>
      <c r="G154" s="334"/>
      <c r="H154" s="744"/>
      <c r="I154" s="498"/>
      <c r="J154" s="497"/>
      <c r="K154" s="822"/>
      <c r="L154" s="190"/>
    </row>
    <row r="155" spans="2:13" ht="17.5">
      <c r="B155" s="176"/>
      <c r="C155" s="795" t="s">
        <v>301</v>
      </c>
      <c r="D155" s="791"/>
      <c r="E155" s="793"/>
      <c r="F155" s="797" t="s">
        <v>620</v>
      </c>
      <c r="G155" s="327"/>
      <c r="H155" s="494">
        <v>1</v>
      </c>
      <c r="I155" s="329" t="s">
        <v>658</v>
      </c>
      <c r="J155" s="492"/>
      <c r="K155" s="330">
        <f t="shared" ref="K155" si="27">IF(M155,IF(J155&gt;0,H155*J155,0),"")</f>
        <v>0</v>
      </c>
      <c r="M155" s="173" t="b">
        <v>1</v>
      </c>
    </row>
    <row r="156" spans="2:13" ht="37.5">
      <c r="B156" s="264"/>
      <c r="C156" s="674"/>
      <c r="D156" s="485"/>
      <c r="E156" s="331"/>
      <c r="F156" s="332" t="s">
        <v>621</v>
      </c>
      <c r="G156" s="334"/>
      <c r="H156" s="744"/>
      <c r="I156" s="744"/>
      <c r="J156" s="497"/>
      <c r="K156" s="500"/>
      <c r="L156" s="190"/>
    </row>
    <row r="157" spans="2:13" ht="16.5">
      <c r="B157" s="145"/>
      <c r="C157" s="674"/>
      <c r="D157" s="485"/>
      <c r="E157" s="324"/>
      <c r="F157" s="821"/>
      <c r="G157" s="334"/>
      <c r="H157" s="744"/>
      <c r="I157" s="498"/>
      <c r="J157" s="497"/>
      <c r="K157" s="822"/>
      <c r="L157" s="190"/>
    </row>
    <row r="158" spans="2:13" ht="17.5">
      <c r="B158" s="176"/>
      <c r="C158" s="796" t="s">
        <v>608</v>
      </c>
      <c r="D158" s="791"/>
      <c r="E158" s="793"/>
      <c r="F158" s="794"/>
      <c r="G158" s="327"/>
      <c r="H158" s="494"/>
      <c r="I158" s="329"/>
      <c r="J158" s="492"/>
      <c r="K158" s="330" t="str">
        <f t="shared" ref="K158" si="28">IF(M158,IF(J158&gt;0,H158*J158,0),"")</f>
        <v/>
      </c>
      <c r="M158" s="173" t="b">
        <v>0</v>
      </c>
    </row>
    <row r="159" spans="2:13" ht="16.5">
      <c r="B159" s="210"/>
      <c r="C159" s="668"/>
      <c r="D159" s="486"/>
      <c r="E159" s="324"/>
      <c r="F159" s="328"/>
      <c r="G159" s="325"/>
      <c r="H159" s="493"/>
      <c r="I159" s="493"/>
      <c r="J159" s="491"/>
      <c r="K159" s="326"/>
      <c r="L159" s="190"/>
    </row>
    <row r="160" spans="2:13" ht="17.5">
      <c r="B160" s="176"/>
      <c r="C160" s="796" t="s">
        <v>609</v>
      </c>
      <c r="D160" s="791"/>
      <c r="E160" s="793"/>
      <c r="F160" s="794"/>
      <c r="G160" s="327"/>
      <c r="H160" s="494"/>
      <c r="I160" s="329"/>
      <c r="J160" s="492"/>
      <c r="K160" s="330" t="str">
        <f t="shared" ref="K160" si="29">IF(M160,IF(J160&gt;0,H160*J160,0),"")</f>
        <v/>
      </c>
      <c r="M160" s="173" t="b">
        <v>0</v>
      </c>
    </row>
    <row r="161" spans="2:13" ht="16.5">
      <c r="B161" s="210"/>
      <c r="C161" s="668"/>
      <c r="D161" s="486"/>
      <c r="E161" s="324"/>
      <c r="F161" s="328"/>
      <c r="G161" s="325"/>
      <c r="H161" s="493"/>
      <c r="I161" s="493"/>
      <c r="J161" s="491"/>
      <c r="K161" s="326"/>
      <c r="L161" s="190"/>
    </row>
    <row r="162" spans="2:13" ht="17.5">
      <c r="B162" s="176"/>
      <c r="C162" s="796" t="s">
        <v>610</v>
      </c>
      <c r="D162" s="791"/>
      <c r="E162" s="793"/>
      <c r="F162" s="794"/>
      <c r="G162" s="327"/>
      <c r="H162" s="494"/>
      <c r="I162" s="329"/>
      <c r="J162" s="492"/>
      <c r="K162" s="330" t="str">
        <f t="shared" ref="K162" si="30">IF(M162,IF(J162&gt;0,H162*J162,0),"")</f>
        <v/>
      </c>
      <c r="M162" s="173" t="b">
        <v>0</v>
      </c>
    </row>
    <row r="163" spans="2:13" ht="17" thickBot="1">
      <c r="B163" s="210"/>
      <c r="C163" s="668"/>
      <c r="D163" s="486"/>
      <c r="E163" s="324"/>
      <c r="F163" s="328"/>
      <c r="G163" s="325"/>
      <c r="H163" s="493"/>
      <c r="I163" s="493"/>
      <c r="J163" s="491"/>
      <c r="K163" s="326"/>
      <c r="L163" s="190"/>
    </row>
    <row r="164" spans="2:13" ht="22.75" customHeight="1" thickBot="1">
      <c r="B164" s="414"/>
      <c r="C164" s="673" t="s">
        <v>10</v>
      </c>
      <c r="D164" s="404"/>
      <c r="E164" s="405"/>
      <c r="F164" s="323"/>
      <c r="G164" s="406"/>
      <c r="H164" s="323"/>
      <c r="I164" s="323"/>
      <c r="J164" s="407" t="s">
        <v>541</v>
      </c>
      <c r="K164" s="408">
        <f>IF(OR(Projektgrundlagen!$I$26,Projektgrundlagen!I27),IF(COUNT(K125:K163)&gt;0,SUM(K125:K163),""),0)</f>
        <v>0</v>
      </c>
    </row>
    <row r="165" spans="2:13" ht="17" thickBot="1">
      <c r="B165" s="166"/>
      <c r="C165" s="166"/>
      <c r="D165" s="166"/>
      <c r="E165" s="166"/>
      <c r="F165" s="166"/>
      <c r="G165" s="166"/>
      <c r="H165" s="166"/>
      <c r="I165" s="166"/>
      <c r="J165" s="166"/>
      <c r="K165" s="165"/>
    </row>
    <row r="166" spans="2:13" ht="30" customHeight="1" thickBot="1">
      <c r="B166" s="433"/>
      <c r="C166" s="675" t="s">
        <v>10</v>
      </c>
      <c r="D166" s="434"/>
      <c r="E166" s="434"/>
      <c r="F166" s="435"/>
      <c r="G166" s="436"/>
      <c r="H166" s="435"/>
      <c r="I166" s="435"/>
      <c r="J166" s="437" t="s">
        <v>46</v>
      </c>
      <c r="K166" s="340">
        <f>IF(COUNT(K47,K77,K122,K164)&gt;0,SUM(K47,K77,K122,K164),"")</f>
        <v>0</v>
      </c>
    </row>
    <row r="167" spans="2:13" ht="12.75" customHeight="1"/>
    <row r="168" spans="2:13" ht="85.5" customHeight="1">
      <c r="B168" s="745" t="s">
        <v>302</v>
      </c>
      <c r="C168" s="746"/>
      <c r="D168" s="746"/>
      <c r="E168" s="990" t="s">
        <v>303</v>
      </c>
      <c r="F168" s="990"/>
      <c r="G168" s="990"/>
    </row>
    <row r="169" spans="2:13" ht="12.75" customHeight="1"/>
    <row r="170" spans="2:13" ht="12.75" customHeight="1"/>
    <row r="171" spans="2:13" ht="12.75" customHeight="1"/>
    <row r="172" spans="2:13" ht="12.75" customHeight="1"/>
  </sheetData>
  <sheetProtection sheet="1" formatRows="0"/>
  <mergeCells count="19">
    <mergeCell ref="L2:L8"/>
    <mergeCell ref="B2:G2"/>
    <mergeCell ref="H2:I2"/>
    <mergeCell ref="J2:K2"/>
    <mergeCell ref="H3:I3"/>
    <mergeCell ref="J3:K3"/>
    <mergeCell ref="H5:I5"/>
    <mergeCell ref="J5:K5"/>
    <mergeCell ref="B6:E6"/>
    <mergeCell ref="B7:E7"/>
    <mergeCell ref="F6:K6"/>
    <mergeCell ref="F7:K7"/>
    <mergeCell ref="F5:G5"/>
    <mergeCell ref="F8:K8"/>
    <mergeCell ref="B8:E8"/>
    <mergeCell ref="E168:G168"/>
    <mergeCell ref="B3:G3"/>
    <mergeCell ref="B5:E5"/>
    <mergeCell ref="B10:F10"/>
  </mergeCells>
  <conditionalFormatting sqref="F14">
    <cfRule type="expression" dxfId="320" priority="1987">
      <formula>AND($M14,F14="")</formula>
    </cfRule>
  </conditionalFormatting>
  <conditionalFormatting sqref="F17 F20 F23 F26 F29 F32 F35 F38">
    <cfRule type="expression" dxfId="319" priority="4">
      <formula>AND($M17,F17="")</formula>
    </cfRule>
  </conditionalFormatting>
  <conditionalFormatting sqref="F41 F43 F45">
    <cfRule type="expression" dxfId="318" priority="20">
      <formula>AND($M41,F41="")</formula>
    </cfRule>
    <cfRule type="expression" dxfId="317" priority="19">
      <formula>NOT($M41)</formula>
    </cfRule>
  </conditionalFormatting>
  <conditionalFormatting sqref="F42 F44 F46">
    <cfRule type="expression" dxfId="316" priority="22">
      <formula>NOT($M41)</formula>
    </cfRule>
  </conditionalFormatting>
  <conditionalFormatting sqref="F50">
    <cfRule type="expression" dxfId="315" priority="1202">
      <formula>AND($M50,F50="")</formula>
    </cfRule>
  </conditionalFormatting>
  <conditionalFormatting sqref="F53">
    <cfRule type="expression" dxfId="314" priority="714">
      <formula>AND($M53,F53="")</formula>
    </cfRule>
  </conditionalFormatting>
  <conditionalFormatting sqref="F56 F59 F62 F65 F68">
    <cfRule type="expression" dxfId="313" priority="53">
      <formula>AND($M56,F56="")</formula>
    </cfRule>
  </conditionalFormatting>
  <conditionalFormatting sqref="F71">
    <cfRule type="expression" dxfId="312" priority="543">
      <formula>NOT($M71)</formula>
    </cfRule>
    <cfRule type="expression" dxfId="311" priority="544">
      <formula>AND($M71,F71="")</formula>
    </cfRule>
  </conditionalFormatting>
  <conditionalFormatting sqref="F72">
    <cfRule type="expression" dxfId="310" priority="546">
      <formula>NOT($M71)</formula>
    </cfRule>
  </conditionalFormatting>
  <conditionalFormatting sqref="F73 F75">
    <cfRule type="expression" dxfId="309" priority="36">
      <formula>AND($M73,F73="")</formula>
    </cfRule>
    <cfRule type="expression" dxfId="308" priority="35">
      <formula>NOT($M73)</formula>
    </cfRule>
  </conditionalFormatting>
  <conditionalFormatting sqref="F74 F76">
    <cfRule type="expression" dxfId="307" priority="38">
      <formula>NOT($M73)</formula>
    </cfRule>
  </conditionalFormatting>
  <conditionalFormatting sqref="F80">
    <cfRule type="expression" dxfId="306" priority="715">
      <formula>AND($M80,F80="")</formula>
    </cfRule>
  </conditionalFormatting>
  <conditionalFormatting sqref="F83 F86 F89 F92 F95 F98 F101 F104 F107 F110 F113">
    <cfRule type="expression" dxfId="305" priority="69">
      <formula>AND($M83,F83="")</formula>
    </cfRule>
  </conditionalFormatting>
  <conditionalFormatting sqref="F116">
    <cfRule type="expression" dxfId="304" priority="300">
      <formula>NOT($M116)</formula>
    </cfRule>
    <cfRule type="expression" dxfId="303" priority="301">
      <formula>AND($M116,F116="")</formula>
    </cfRule>
  </conditionalFormatting>
  <conditionalFormatting sqref="F117">
    <cfRule type="expression" dxfId="302" priority="303">
      <formula>NOT($M116)</formula>
    </cfRule>
  </conditionalFormatting>
  <conditionalFormatting sqref="F118">
    <cfRule type="expression" dxfId="301" priority="528">
      <formula>NOT($M118)</formula>
    </cfRule>
    <cfRule type="expression" dxfId="300" priority="529">
      <formula>AND($M118,F118="")</formula>
    </cfRule>
  </conditionalFormatting>
  <conditionalFormatting sqref="F119">
    <cfRule type="expression" dxfId="299" priority="531">
      <formula>NOT($M118)</formula>
    </cfRule>
  </conditionalFormatting>
  <conditionalFormatting sqref="F120">
    <cfRule type="expression" dxfId="298" priority="523">
      <formula>NOT($M120)</formula>
    </cfRule>
    <cfRule type="expression" dxfId="297" priority="524">
      <formula>AND($M120,F120="")</formula>
    </cfRule>
  </conditionalFormatting>
  <conditionalFormatting sqref="F121">
    <cfRule type="expression" dxfId="296" priority="526">
      <formula>NOT($M120)</formula>
    </cfRule>
  </conditionalFormatting>
  <conditionalFormatting sqref="F125">
    <cfRule type="expression" dxfId="295" priority="704">
      <formula>AND($M125,F125="")</formula>
    </cfRule>
  </conditionalFormatting>
  <conditionalFormatting sqref="F128">
    <cfRule type="expression" dxfId="294" priority="188">
      <formula>AND($M128,F128="")</formula>
    </cfRule>
  </conditionalFormatting>
  <conditionalFormatting sqref="F131">
    <cfRule type="expression" dxfId="293" priority="171">
      <formula>AND($M131,F131="")</formula>
    </cfRule>
  </conditionalFormatting>
  <conditionalFormatting sqref="F134">
    <cfRule type="expression" dxfId="292" priority="154">
      <formula>AND($M134,F134="")</formula>
    </cfRule>
  </conditionalFormatting>
  <conditionalFormatting sqref="F137">
    <cfRule type="expression" dxfId="291" priority="137">
      <formula>AND($M137,F137="")</formula>
    </cfRule>
  </conditionalFormatting>
  <conditionalFormatting sqref="F140">
    <cfRule type="expression" dxfId="290" priority="120">
      <formula>AND($M140,F140="")</formula>
    </cfRule>
  </conditionalFormatting>
  <conditionalFormatting sqref="F143 F146 F149">
    <cfRule type="expression" dxfId="289" priority="103">
      <formula>AND($M143,F143="")</formula>
    </cfRule>
  </conditionalFormatting>
  <conditionalFormatting sqref="F152 F155">
    <cfRule type="expression" dxfId="288" priority="86">
      <formula>AND($M152,F152="")</formula>
    </cfRule>
  </conditionalFormatting>
  <conditionalFormatting sqref="F158">
    <cfRule type="expression" dxfId="287" priority="227">
      <formula>AND($M158,F158="")</formula>
    </cfRule>
    <cfRule type="expression" dxfId="286" priority="226">
      <formula>NOT($M158)</formula>
    </cfRule>
  </conditionalFormatting>
  <conditionalFormatting sqref="F159">
    <cfRule type="expression" dxfId="285" priority="229">
      <formula>NOT($M158)</formula>
    </cfRule>
  </conditionalFormatting>
  <conditionalFormatting sqref="F160">
    <cfRule type="expression" dxfId="284" priority="509">
      <formula>AND($M160,F160="")</formula>
    </cfRule>
    <cfRule type="expression" dxfId="283" priority="508">
      <formula>NOT($M160)</formula>
    </cfRule>
  </conditionalFormatting>
  <conditionalFormatting sqref="F161">
    <cfRule type="expression" dxfId="282" priority="511">
      <formula>NOT($M160)</formula>
    </cfRule>
  </conditionalFormatting>
  <conditionalFormatting sqref="F162">
    <cfRule type="expression" dxfId="281" priority="504">
      <formula>AND($M162,F162="")</formula>
    </cfRule>
    <cfRule type="expression" dxfId="280" priority="503">
      <formula>NOT($M162)</formula>
    </cfRule>
  </conditionalFormatting>
  <conditionalFormatting sqref="F163">
    <cfRule type="expression" dxfId="279" priority="506">
      <formula>NOT($M162)</formula>
    </cfRule>
  </conditionalFormatting>
  <conditionalFormatting sqref="H14">
    <cfRule type="expression" dxfId="278" priority="1759">
      <formula>AND(M14,H14="")</formula>
    </cfRule>
  </conditionalFormatting>
  <conditionalFormatting sqref="H17 H20 H23 H26 H29 H32 H35 H38">
    <cfRule type="expression" dxfId="277" priority="10">
      <formula>AND(M17,H17="")</formula>
    </cfRule>
  </conditionalFormatting>
  <conditionalFormatting sqref="H41 H43 H45">
    <cfRule type="expression" dxfId="276" priority="28">
      <formula>AND(M41,H41="")</formula>
    </cfRule>
  </conditionalFormatting>
  <conditionalFormatting sqref="H50">
    <cfRule type="expression" dxfId="275" priority="1327">
      <formula>AND(M50,H50="")</formula>
    </cfRule>
  </conditionalFormatting>
  <conditionalFormatting sqref="H53">
    <cfRule type="expression" dxfId="274" priority="1322">
      <formula>AND(M53,H53="")</formula>
    </cfRule>
  </conditionalFormatting>
  <conditionalFormatting sqref="H56 H59 H62 H65 H68">
    <cfRule type="expression" dxfId="273" priority="59">
      <formula>AND(M56,H56="")</formula>
    </cfRule>
  </conditionalFormatting>
  <conditionalFormatting sqref="H71">
    <cfRule type="expression" dxfId="272" priority="1687">
      <formula>AND(M71,H71="")</formula>
    </cfRule>
  </conditionalFormatting>
  <conditionalFormatting sqref="H73 H75">
    <cfRule type="expression" dxfId="271" priority="44">
      <formula>AND(M73,H73="")</formula>
    </cfRule>
  </conditionalFormatting>
  <conditionalFormatting sqref="H80">
    <cfRule type="expression" dxfId="270" priority="1296">
      <formula>AND(M80,H80="")</formula>
    </cfRule>
  </conditionalFormatting>
  <conditionalFormatting sqref="H83 H86 H89 H92 H95 H98 H101 H104 H107 H110 H113">
    <cfRule type="expression" dxfId="269" priority="75">
      <formula>AND(M83,H83="")</formula>
    </cfRule>
  </conditionalFormatting>
  <conditionalFormatting sqref="H116">
    <cfRule type="expression" dxfId="268" priority="981">
      <formula>AND(M116,H116="")</formula>
    </cfRule>
  </conditionalFormatting>
  <conditionalFormatting sqref="H118">
    <cfRule type="expression" dxfId="267" priority="1651">
      <formula>AND(M118,H118="")</formula>
    </cfRule>
  </conditionalFormatting>
  <conditionalFormatting sqref="H120">
    <cfRule type="expression" dxfId="266" priority="1639">
      <formula>AND(M120,H120="")</formula>
    </cfRule>
  </conditionalFormatting>
  <conditionalFormatting sqref="H125">
    <cfRule type="expression" dxfId="265" priority="1268">
      <formula>AND(M125,H125="")</formula>
    </cfRule>
  </conditionalFormatting>
  <conditionalFormatting sqref="H128">
    <cfRule type="expression" dxfId="264" priority="194">
      <formula>AND(M128,H128="")</formula>
    </cfRule>
  </conditionalFormatting>
  <conditionalFormatting sqref="H131">
    <cfRule type="expression" dxfId="263" priority="177">
      <formula>AND(M131,H131="")</formula>
    </cfRule>
  </conditionalFormatting>
  <conditionalFormatting sqref="H134">
    <cfRule type="expression" dxfId="262" priority="160">
      <formula>AND(M134,H134="")</formula>
    </cfRule>
  </conditionalFormatting>
  <conditionalFormatting sqref="H137">
    <cfRule type="expression" dxfId="261" priority="143">
      <formula>AND(M137,H137="")</formula>
    </cfRule>
  </conditionalFormatting>
  <conditionalFormatting sqref="H140">
    <cfRule type="expression" dxfId="260" priority="126">
      <formula>AND(M140,H140="")</formula>
    </cfRule>
  </conditionalFormatting>
  <conditionalFormatting sqref="H143 H146 H149">
    <cfRule type="expression" dxfId="259" priority="109">
      <formula>AND(M143,H143="")</formula>
    </cfRule>
  </conditionalFormatting>
  <conditionalFormatting sqref="H152 H155">
    <cfRule type="expression" dxfId="258" priority="92">
      <formula>AND(M152,H152="")</formula>
    </cfRule>
  </conditionalFormatting>
  <conditionalFormatting sqref="H158">
    <cfRule type="expression" dxfId="257" priority="420">
      <formula>AND(M158,H158="")</formula>
    </cfRule>
  </conditionalFormatting>
  <conditionalFormatting sqref="H160">
    <cfRule type="expression" dxfId="256" priority="933">
      <formula>AND(M160,H160="")</formula>
    </cfRule>
  </conditionalFormatting>
  <conditionalFormatting sqref="H162">
    <cfRule type="expression" dxfId="255" priority="884">
      <formula>AND(M162,H162="")</formula>
    </cfRule>
  </conditionalFormatting>
  <conditionalFormatting sqref="H14:I14">
    <cfRule type="expression" dxfId="254" priority="1755">
      <formula>NOT($M14)</formula>
    </cfRule>
  </conditionalFormatting>
  <conditionalFormatting sqref="H17:I17 H20:I20 H23:I23 H26:I26 H29:I29 H32:I32 H35:I35 H38:I38">
    <cfRule type="expression" dxfId="253" priority="7">
      <formula>NOT($M17)</formula>
    </cfRule>
  </conditionalFormatting>
  <conditionalFormatting sqref="H41:I41 H43:I43 H45:I45">
    <cfRule type="expression" dxfId="252" priority="25">
      <formula>NOT($M41)</formula>
    </cfRule>
  </conditionalFormatting>
  <conditionalFormatting sqref="H50:I50">
    <cfRule type="expression" dxfId="251" priority="1324">
      <formula>NOT($M50)</formula>
    </cfRule>
  </conditionalFormatting>
  <conditionalFormatting sqref="H53:I53">
    <cfRule type="expression" dxfId="250" priority="1319">
      <formula>NOT($M53)</formula>
    </cfRule>
  </conditionalFormatting>
  <conditionalFormatting sqref="H56:I56 H59:I59 H62:I62 H65:I65 H68:I68">
    <cfRule type="expression" dxfId="249" priority="56">
      <formula>NOT($M56)</formula>
    </cfRule>
  </conditionalFormatting>
  <conditionalFormatting sqref="H71:I71">
    <cfRule type="expression" dxfId="248" priority="1684">
      <formula>NOT($M71)</formula>
    </cfRule>
  </conditionalFormatting>
  <conditionalFormatting sqref="H73:I73 H75:I75">
    <cfRule type="expression" dxfId="247" priority="41">
      <formula>NOT($M73)</formula>
    </cfRule>
  </conditionalFormatting>
  <conditionalFormatting sqref="H80:I80">
    <cfRule type="expression" dxfId="246" priority="1293">
      <formula>NOT($M80)</formula>
    </cfRule>
  </conditionalFormatting>
  <conditionalFormatting sqref="H83:I83 H86:I86 H89:I89 H92:I92 H95:I95 H98:I98 H101:I101 H104:I104 H107:I107 H110:I110 H113:I113">
    <cfRule type="expression" dxfId="245" priority="72">
      <formula>NOT($M83)</formula>
    </cfRule>
  </conditionalFormatting>
  <conditionalFormatting sqref="H116:I116">
    <cfRule type="expression" dxfId="244" priority="978">
      <formula>NOT($M116)</formula>
    </cfRule>
  </conditionalFormatting>
  <conditionalFormatting sqref="H118:I118">
    <cfRule type="expression" dxfId="243" priority="1648">
      <formula>NOT($M118)</formula>
    </cfRule>
  </conditionalFormatting>
  <conditionalFormatting sqref="H120:I120">
    <cfRule type="expression" dxfId="242" priority="1636">
      <formula>NOT($M120)</formula>
    </cfRule>
  </conditionalFormatting>
  <conditionalFormatting sqref="H125:I125">
    <cfRule type="expression" dxfId="241" priority="1265">
      <formula>NOT($M125)</formula>
    </cfRule>
  </conditionalFormatting>
  <conditionalFormatting sqref="H128:I128">
    <cfRule type="expression" dxfId="240" priority="191">
      <formula>NOT($M128)</formula>
    </cfRule>
  </conditionalFormatting>
  <conditionalFormatting sqref="H131:I131">
    <cfRule type="expression" dxfId="239" priority="174">
      <formula>NOT($M131)</formula>
    </cfRule>
  </conditionalFormatting>
  <conditionalFormatting sqref="H134:I134">
    <cfRule type="expression" dxfId="238" priority="157">
      <formula>NOT($M134)</formula>
    </cfRule>
  </conditionalFormatting>
  <conditionalFormatting sqref="H137:I137">
    <cfRule type="expression" dxfId="237" priority="140">
      <formula>NOT($M137)</formula>
    </cfRule>
  </conditionalFormatting>
  <conditionalFormatting sqref="H140:I140">
    <cfRule type="expression" dxfId="236" priority="123">
      <formula>NOT($M140)</formula>
    </cfRule>
  </conditionalFormatting>
  <conditionalFormatting sqref="H143:I143 H146:I146 H149:I149">
    <cfRule type="expression" dxfId="235" priority="106">
      <formula>NOT($M143)</formula>
    </cfRule>
  </conditionalFormatting>
  <conditionalFormatting sqref="H152:I152 H155:I155">
    <cfRule type="expression" dxfId="234" priority="89">
      <formula>NOT($M152)</formula>
    </cfRule>
  </conditionalFormatting>
  <conditionalFormatting sqref="H158:I158">
    <cfRule type="expression" dxfId="233" priority="417">
      <formula>NOT($M158)</formula>
    </cfRule>
  </conditionalFormatting>
  <conditionalFormatting sqref="H160:I160">
    <cfRule type="expression" dxfId="232" priority="930">
      <formula>NOT($M160)</formula>
    </cfRule>
  </conditionalFormatting>
  <conditionalFormatting sqref="H162:I162">
    <cfRule type="expression" dxfId="231" priority="881">
      <formula>NOT($M162)</formula>
    </cfRule>
  </conditionalFormatting>
  <conditionalFormatting sqref="I14">
    <cfRule type="expression" dxfId="230" priority="1756">
      <formula>AND(M14,I14="")</formula>
    </cfRule>
  </conditionalFormatting>
  <conditionalFormatting sqref="I17 I20 I23 I26 I29 I32 I35 I38">
    <cfRule type="expression" dxfId="229" priority="9">
      <formula>AND(M17,I17="")</formula>
    </cfRule>
  </conditionalFormatting>
  <conditionalFormatting sqref="I41 I43 I45">
    <cfRule type="expression" dxfId="228" priority="27">
      <formula>AND(M41,I41="")</formula>
    </cfRule>
  </conditionalFormatting>
  <conditionalFormatting sqref="I50">
    <cfRule type="expression" dxfId="227" priority="1326">
      <formula>AND(M50,I50="")</formula>
    </cfRule>
  </conditionalFormatting>
  <conditionalFormatting sqref="I53">
    <cfRule type="expression" dxfId="226" priority="1321">
      <formula>AND(M53,I53="")</formula>
    </cfRule>
  </conditionalFormatting>
  <conditionalFormatting sqref="I56 I59 I62 I65 I68">
    <cfRule type="expression" dxfId="225" priority="58">
      <formula>AND(M56,I56="")</formula>
    </cfRule>
  </conditionalFormatting>
  <conditionalFormatting sqref="I71">
    <cfRule type="expression" dxfId="224" priority="1686">
      <formula>AND(M71,I71="")</formula>
    </cfRule>
  </conditionalFormatting>
  <conditionalFormatting sqref="I73 I75">
    <cfRule type="expression" dxfId="223" priority="43">
      <formula>AND(M73,I73="")</formula>
    </cfRule>
  </conditionalFormatting>
  <conditionalFormatting sqref="I80">
    <cfRule type="expression" dxfId="222" priority="1295">
      <formula>AND(M80,I80="")</formula>
    </cfRule>
  </conditionalFormatting>
  <conditionalFormatting sqref="I83 I86 I89 I92 I95 I98 I101 I104 I107 I110 I113">
    <cfRule type="expression" dxfId="221" priority="74">
      <formula>AND(M83,I83="")</formula>
    </cfRule>
  </conditionalFormatting>
  <conditionalFormatting sqref="I116">
    <cfRule type="expression" dxfId="220" priority="980">
      <formula>AND(M116,I116="")</formula>
    </cfRule>
  </conditionalFormatting>
  <conditionalFormatting sqref="I118">
    <cfRule type="expression" dxfId="219" priority="1650">
      <formula>AND(M118,I118="")</formula>
    </cfRule>
  </conditionalFormatting>
  <conditionalFormatting sqref="I120">
    <cfRule type="expression" dxfId="218" priority="1638">
      <formula>AND(M120,I120="")</formula>
    </cfRule>
  </conditionalFormatting>
  <conditionalFormatting sqref="I125">
    <cfRule type="expression" dxfId="217" priority="1267">
      <formula>AND(M125,I125="")</formula>
    </cfRule>
  </conditionalFormatting>
  <conditionalFormatting sqref="I128">
    <cfRule type="expression" dxfId="216" priority="193">
      <formula>AND(M128,I128="")</formula>
    </cfRule>
  </conditionalFormatting>
  <conditionalFormatting sqref="I131">
    <cfRule type="expression" dxfId="215" priority="176">
      <formula>AND(M131,I131="")</formula>
    </cfRule>
  </conditionalFormatting>
  <conditionalFormatting sqref="I134">
    <cfRule type="expression" dxfId="214" priority="159">
      <formula>AND(M134,I134="")</formula>
    </cfRule>
  </conditionalFormatting>
  <conditionalFormatting sqref="I137">
    <cfRule type="expression" dxfId="213" priority="142">
      <formula>AND(M137,I137="")</formula>
    </cfRule>
  </conditionalFormatting>
  <conditionalFormatting sqref="I140">
    <cfRule type="expression" dxfId="212" priority="125">
      <formula>AND(M140,I140="")</formula>
    </cfRule>
  </conditionalFormatting>
  <conditionalFormatting sqref="I143 I146 I149">
    <cfRule type="expression" dxfId="211" priority="108">
      <formula>AND(M143,I143="")</formula>
    </cfRule>
  </conditionalFormatting>
  <conditionalFormatting sqref="I152 I155">
    <cfRule type="expression" dxfId="210" priority="91">
      <formula>AND(M152,I152="")</formula>
    </cfRule>
  </conditionalFormatting>
  <conditionalFormatting sqref="I158">
    <cfRule type="expression" dxfId="209" priority="419">
      <formula>AND(M158,I158="")</formula>
    </cfRule>
  </conditionalFormatting>
  <conditionalFormatting sqref="I160">
    <cfRule type="expression" dxfId="208" priority="932">
      <formula>AND(M160,I160="")</formula>
    </cfRule>
  </conditionalFormatting>
  <conditionalFormatting sqref="I162">
    <cfRule type="expression" dxfId="207" priority="883">
      <formula>AND(M162,I162="")</formula>
    </cfRule>
  </conditionalFormatting>
  <conditionalFormatting sqref="J14">
    <cfRule type="expression" dxfId="206" priority="1978">
      <formula>AND(M14,J14="")</formula>
    </cfRule>
    <cfRule type="expression" dxfId="205" priority="1982">
      <formula>M14=FALSE</formula>
    </cfRule>
    <cfRule type="expression" dxfId="204" priority="1983">
      <formula>AND(M14,J14="")</formula>
    </cfRule>
    <cfRule type="expression" dxfId="203" priority="1988">
      <formula>M14=FALSE</formula>
    </cfRule>
    <cfRule type="expression" dxfId="202" priority="1977">
      <formula>M14=FALSE</formula>
    </cfRule>
    <cfRule type="expression" dxfId="201" priority="1989">
      <formula>AND(M14,J14="")</formula>
    </cfRule>
  </conditionalFormatting>
  <conditionalFormatting sqref="J17 J20 J23 J26 J29 J32 J35 J38">
    <cfRule type="expression" dxfId="200" priority="16">
      <formula>M17=FALSE</formula>
    </cfRule>
    <cfRule type="expression" dxfId="199" priority="17">
      <formula>AND(M17,J17="")</formula>
    </cfRule>
    <cfRule type="expression" dxfId="198" priority="14">
      <formula>AND(M17,J17="")</formula>
    </cfRule>
    <cfRule type="expression" dxfId="197" priority="13">
      <formula>M17=FALSE</formula>
    </cfRule>
    <cfRule type="expression" dxfId="196" priority="12">
      <formula>AND(M17,J17="")</formula>
    </cfRule>
    <cfRule type="expression" dxfId="195" priority="11">
      <formula>M17=FALSE</formula>
    </cfRule>
  </conditionalFormatting>
  <conditionalFormatting sqref="J41 J43 J45">
    <cfRule type="expression" dxfId="194" priority="32">
      <formula>M41=FALSE</formula>
    </cfRule>
    <cfRule type="expression" dxfId="193" priority="33">
      <formula>AND(M41,J41="")</formula>
    </cfRule>
  </conditionalFormatting>
  <conditionalFormatting sqref="J50">
    <cfRule type="expression" dxfId="192" priority="2088">
      <formula>AND(M50,J50="")</formula>
    </cfRule>
    <cfRule type="expression" dxfId="191" priority="2099">
      <formula>AND(M50,J50="")</formula>
    </cfRule>
    <cfRule type="expression" dxfId="190" priority="2092">
      <formula>M50=FALSE</formula>
    </cfRule>
    <cfRule type="expression" dxfId="189" priority="2098">
      <formula>M50=FALSE</formula>
    </cfRule>
    <cfRule type="expression" dxfId="188" priority="2087">
      <formula>M50=FALSE</formula>
    </cfRule>
    <cfRule type="expression" dxfId="187" priority="2093">
      <formula>AND(M50,J50="")</formula>
    </cfRule>
  </conditionalFormatting>
  <conditionalFormatting sqref="J53">
    <cfRule type="expression" dxfId="186" priority="2072">
      <formula>AND(M53,J53="")</formula>
    </cfRule>
    <cfRule type="expression" dxfId="185" priority="2076">
      <formula>M53=FALSE</formula>
    </cfRule>
    <cfRule type="expression" dxfId="184" priority="2082">
      <formula>M53=FALSE</formula>
    </cfRule>
    <cfRule type="expression" dxfId="183" priority="2083">
      <formula>AND(M53,J53="")</formula>
    </cfRule>
    <cfRule type="expression" dxfId="182" priority="2077">
      <formula>AND(M53,J53="")</formula>
    </cfRule>
    <cfRule type="expression" dxfId="181" priority="2071">
      <formula>M53=FALSE</formula>
    </cfRule>
  </conditionalFormatting>
  <conditionalFormatting sqref="J56 J59 J62 J65 J68">
    <cfRule type="expression" dxfId="180" priority="66">
      <formula>AND(M56,J56="")</formula>
    </cfRule>
    <cfRule type="expression" dxfId="179" priority="63">
      <formula>AND(M56,J56="")</formula>
    </cfRule>
    <cfRule type="expression" dxfId="178" priority="62">
      <formula>M56=FALSE</formula>
    </cfRule>
    <cfRule type="expression" dxfId="177" priority="60">
      <formula>M56=FALSE</formula>
    </cfRule>
    <cfRule type="expression" dxfId="176" priority="61">
      <formula>AND(M56,J56="")</formula>
    </cfRule>
    <cfRule type="expression" dxfId="175" priority="65">
      <formula>M56=FALSE</formula>
    </cfRule>
  </conditionalFormatting>
  <conditionalFormatting sqref="J71">
    <cfRule type="expression" dxfId="174" priority="1994">
      <formula>M71=FALSE</formula>
    </cfRule>
    <cfRule type="expression" dxfId="173" priority="1995">
      <formula>AND(M71,J71="")</formula>
    </cfRule>
  </conditionalFormatting>
  <conditionalFormatting sqref="J73 J75">
    <cfRule type="expression" dxfId="172" priority="49">
      <formula>AND(M73,J73="")</formula>
    </cfRule>
    <cfRule type="expression" dxfId="171" priority="48">
      <formula>M73=FALSE</formula>
    </cfRule>
  </conditionalFormatting>
  <conditionalFormatting sqref="J80">
    <cfRule type="expression" dxfId="170" priority="2151">
      <formula>M80=FALSE</formula>
    </cfRule>
    <cfRule type="expression" dxfId="169" priority="2152">
      <formula>AND(M80,J80="")</formula>
    </cfRule>
    <cfRule type="expression" dxfId="168" priority="2156">
      <formula>M80=FALSE</formula>
    </cfRule>
    <cfRule type="expression" dxfId="167" priority="2157">
      <formula>AND(M80,J80="")</formula>
    </cfRule>
    <cfRule type="expression" dxfId="166" priority="2162">
      <formula>M80=FALSE</formula>
    </cfRule>
    <cfRule type="expression" dxfId="165" priority="2163">
      <formula>AND(M80,J80="")</formula>
    </cfRule>
  </conditionalFormatting>
  <conditionalFormatting sqref="J83 J86 J89 J92 J95 J98 J101 J104 J107 J110 J113">
    <cfRule type="expression" dxfId="164" priority="77">
      <formula>M83=FALSE</formula>
    </cfRule>
    <cfRule type="expression" dxfId="163" priority="83">
      <formula>AND(M83,J83="")</formula>
    </cfRule>
    <cfRule type="expression" dxfId="162" priority="78">
      <formula>AND(M83,J83="")</formula>
    </cfRule>
    <cfRule type="expression" dxfId="161" priority="79">
      <formula>M83=FALSE</formula>
    </cfRule>
    <cfRule type="expression" dxfId="160" priority="80">
      <formula>AND(M83,J83="")</formula>
    </cfRule>
    <cfRule type="expression" dxfId="159" priority="82">
      <formula>M83=FALSE</formula>
    </cfRule>
  </conditionalFormatting>
  <conditionalFormatting sqref="J116">
    <cfRule type="expression" dxfId="158" priority="998">
      <formula>M116=FALSE</formula>
    </cfRule>
    <cfRule type="expression" dxfId="157" priority="999">
      <formula>AND(M116,J116="")</formula>
    </cfRule>
    <cfRule type="expression" dxfId="156" priority="1002">
      <formula>M116=FALSE</formula>
    </cfRule>
    <cfRule type="expression" dxfId="155" priority="1003">
      <formula>AND(M116,J116="")</formula>
    </cfRule>
    <cfRule type="expression" dxfId="154" priority="995">
      <formula>M116=FALSE</formula>
    </cfRule>
    <cfRule type="expression" dxfId="153" priority="996">
      <formula>AND(M116,J116="")</formula>
    </cfRule>
  </conditionalFormatting>
  <conditionalFormatting sqref="J118">
    <cfRule type="expression" dxfId="152" priority="2180">
      <formula>M118=FALSE</formula>
    </cfRule>
    <cfRule type="expression" dxfId="151" priority="2181">
      <formula>AND(M118,J118="")</formula>
    </cfRule>
  </conditionalFormatting>
  <conditionalFormatting sqref="J120">
    <cfRule type="expression" dxfId="150" priority="2175">
      <formula>AND(M120,J120="")</formula>
    </cfRule>
    <cfRule type="expression" dxfId="149" priority="2174">
      <formula>M120=FALSE</formula>
    </cfRule>
  </conditionalFormatting>
  <conditionalFormatting sqref="J125">
    <cfRule type="expression" dxfId="148" priority="2268">
      <formula>M125=FALSE</formula>
    </cfRule>
    <cfRule type="expression" dxfId="147" priority="2263">
      <formula>AND(M125,J125="")</formula>
    </cfRule>
    <cfRule type="expression" dxfId="146" priority="2262">
      <formula>M125=FALSE</formula>
    </cfRule>
    <cfRule type="expression" dxfId="145" priority="2258">
      <formula>AND(M125,J125="")</formula>
    </cfRule>
    <cfRule type="expression" dxfId="144" priority="2257">
      <formula>M125=FALSE</formula>
    </cfRule>
    <cfRule type="expression" dxfId="143" priority="2269">
      <formula>AND(M125,J125="")</formula>
    </cfRule>
  </conditionalFormatting>
  <conditionalFormatting sqref="J128">
    <cfRule type="expression" dxfId="142" priority="201">
      <formula>M128=FALSE</formula>
    </cfRule>
    <cfRule type="expression" dxfId="141" priority="196">
      <formula>M128=FALSE</formula>
    </cfRule>
    <cfRule type="expression" dxfId="140" priority="202">
      <formula>AND(M128,J128="")</formula>
    </cfRule>
    <cfRule type="expression" dxfId="139" priority="198">
      <formula>M128=FALSE</formula>
    </cfRule>
    <cfRule type="expression" dxfId="138" priority="199">
      <formula>AND(M128,J128="")</formula>
    </cfRule>
    <cfRule type="expression" dxfId="137" priority="197">
      <formula>AND(M128,J128="")</formula>
    </cfRule>
  </conditionalFormatting>
  <conditionalFormatting sqref="J131">
    <cfRule type="expression" dxfId="136" priority="182">
      <formula>AND(M131,J131="")</formula>
    </cfRule>
    <cfRule type="expression" dxfId="135" priority="184">
      <formula>M131=FALSE</formula>
    </cfRule>
    <cfRule type="expression" dxfId="134" priority="180">
      <formula>AND(M131,J131="")</formula>
    </cfRule>
    <cfRule type="expression" dxfId="133" priority="179">
      <formula>M131=FALSE</formula>
    </cfRule>
    <cfRule type="expression" dxfId="132" priority="181">
      <formula>M131=FALSE</formula>
    </cfRule>
    <cfRule type="expression" dxfId="131" priority="185">
      <formula>AND(M131,J131="")</formula>
    </cfRule>
  </conditionalFormatting>
  <conditionalFormatting sqref="J134">
    <cfRule type="expression" dxfId="130" priority="162">
      <formula>M134=FALSE</formula>
    </cfRule>
    <cfRule type="expression" dxfId="129" priority="163">
      <formula>AND(M134,J134="")</formula>
    </cfRule>
    <cfRule type="expression" dxfId="128" priority="168">
      <formula>AND(M134,J134="")</formula>
    </cfRule>
    <cfRule type="expression" dxfId="127" priority="164">
      <formula>M134=FALSE</formula>
    </cfRule>
    <cfRule type="expression" dxfId="126" priority="165">
      <formula>AND(M134,J134="")</formula>
    </cfRule>
    <cfRule type="expression" dxfId="125" priority="167">
      <formula>M134=FALSE</formula>
    </cfRule>
  </conditionalFormatting>
  <conditionalFormatting sqref="J137">
    <cfRule type="expression" dxfId="124" priority="147">
      <formula>M137=FALSE</formula>
    </cfRule>
    <cfRule type="expression" dxfId="123" priority="151">
      <formula>AND(M137,J137="")</formula>
    </cfRule>
    <cfRule type="expression" dxfId="122" priority="150">
      <formula>M137=FALSE</formula>
    </cfRule>
    <cfRule type="expression" dxfId="121" priority="148">
      <formula>AND(M137,J137="")</formula>
    </cfRule>
    <cfRule type="expression" dxfId="120" priority="146">
      <formula>AND(M137,J137="")</formula>
    </cfRule>
    <cfRule type="expression" dxfId="119" priority="145">
      <formula>M137=FALSE</formula>
    </cfRule>
  </conditionalFormatting>
  <conditionalFormatting sqref="J140">
    <cfRule type="expression" dxfId="118" priority="128">
      <formula>M140=FALSE</formula>
    </cfRule>
    <cfRule type="expression" dxfId="117" priority="129">
      <formula>AND(M140,J140="")</formula>
    </cfRule>
    <cfRule type="expression" dxfId="116" priority="134">
      <formula>AND(M140,J140="")</formula>
    </cfRule>
    <cfRule type="expression" dxfId="115" priority="133">
      <formula>M140=FALSE</formula>
    </cfRule>
    <cfRule type="expression" dxfId="114" priority="131">
      <formula>AND(M140,J140="")</formula>
    </cfRule>
    <cfRule type="expression" dxfId="113" priority="130">
      <formula>M140=FALSE</formula>
    </cfRule>
  </conditionalFormatting>
  <conditionalFormatting sqref="J143 J146 J149">
    <cfRule type="expression" dxfId="112" priority="114">
      <formula>AND(M143,J143="")</formula>
    </cfRule>
    <cfRule type="expression" dxfId="111" priority="112">
      <formula>AND(M143,J143="")</formula>
    </cfRule>
    <cfRule type="expression" dxfId="110" priority="111">
      <formula>M143=FALSE</formula>
    </cfRule>
    <cfRule type="expression" dxfId="109" priority="113">
      <formula>M143=FALSE</formula>
    </cfRule>
    <cfRule type="expression" dxfId="108" priority="117">
      <formula>AND(M143,J143="")</formula>
    </cfRule>
    <cfRule type="expression" dxfId="107" priority="116">
      <formula>M143=FALSE</formula>
    </cfRule>
  </conditionalFormatting>
  <conditionalFormatting sqref="J152 J155">
    <cfRule type="expression" dxfId="106" priority="97">
      <formula>AND(M152,J152="")</formula>
    </cfRule>
    <cfRule type="expression" dxfId="105" priority="95">
      <formula>AND(M152,J152="")</formula>
    </cfRule>
    <cfRule type="expression" dxfId="104" priority="94">
      <formula>M152=FALSE</formula>
    </cfRule>
    <cfRule type="expression" dxfId="103" priority="100">
      <formula>AND(M152,J152="")</formula>
    </cfRule>
    <cfRule type="expression" dxfId="102" priority="99">
      <formula>M152=FALSE</formula>
    </cfRule>
    <cfRule type="expression" dxfId="101" priority="96">
      <formula>M152=FALSE</formula>
    </cfRule>
  </conditionalFormatting>
  <conditionalFormatting sqref="J158">
    <cfRule type="expression" dxfId="100" priority="425">
      <formula>AND(M158,J158="")</formula>
    </cfRule>
    <cfRule type="expression" dxfId="99" priority="424">
      <formula>M158=FALSE</formula>
    </cfRule>
  </conditionalFormatting>
  <conditionalFormatting sqref="J160">
    <cfRule type="expression" dxfId="98" priority="964">
      <formula>M160=FALSE</formula>
    </cfRule>
    <cfRule type="expression" dxfId="97" priority="965">
      <formula>AND(M160,J160="")</formula>
    </cfRule>
  </conditionalFormatting>
  <conditionalFormatting sqref="J162">
    <cfRule type="expression" dxfId="96" priority="892">
      <formula>AND(M162,J162="")</formula>
    </cfRule>
    <cfRule type="expression" dxfId="95" priority="891">
      <formula>M162=FALSE</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48" max="11" man="1"/>
    <brk id="78" max="11" man="1"/>
    <brk id="123" max="11" man="1"/>
  </rowBreaks>
  <ignoredErrors>
    <ignoredError sqref="C116"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16</xdr:row>
                    <xdr:rowOff>0</xdr:rowOff>
                  </from>
                  <to>
                    <xdr:col>2</xdr:col>
                    <xdr:colOff>0</xdr:colOff>
                    <xdr:row>16</xdr:row>
                    <xdr:rowOff>209550</xdr:rowOff>
                  </to>
                </anchor>
              </controlPr>
            </control>
          </mc:Choice>
        </mc:AlternateContent>
        <mc:AlternateContent xmlns:mc="http://schemas.openxmlformats.org/markup-compatibility/2006">
          <mc:Choice Requires="x14">
            <control shapeId="69870" r:id="rId5" name="Check Box 126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1" r:id="rId6" name="Check Box 1263">
              <controlPr defaultSize="0" autoFill="0" autoLine="0" autoPict="0" altText="">
                <anchor moveWithCells="1">
                  <from>
                    <xdr:col>1</xdr:col>
                    <xdr:colOff>0</xdr:colOff>
                    <xdr:row>19</xdr:row>
                    <xdr:rowOff>0</xdr:rowOff>
                  </from>
                  <to>
                    <xdr:col>2</xdr:col>
                    <xdr:colOff>0</xdr:colOff>
                    <xdr:row>19</xdr:row>
                    <xdr:rowOff>209550</xdr:rowOff>
                  </to>
                </anchor>
              </controlPr>
            </control>
          </mc:Choice>
        </mc:AlternateContent>
        <mc:AlternateContent xmlns:mc="http://schemas.openxmlformats.org/markup-compatibility/2006">
          <mc:Choice Requires="x14">
            <control shapeId="69872" r:id="rId7" name="Check Box 1264">
              <controlPr defaultSize="0" autoFill="0" autoLine="0" autoPict="0" altText="">
                <anchor moveWithCells="1">
                  <from>
                    <xdr:col>1</xdr:col>
                    <xdr:colOff>0</xdr:colOff>
                    <xdr:row>22</xdr:row>
                    <xdr:rowOff>0</xdr:rowOff>
                  </from>
                  <to>
                    <xdr:col>2</xdr:col>
                    <xdr:colOff>0</xdr:colOff>
                    <xdr:row>22</xdr:row>
                    <xdr:rowOff>209550</xdr:rowOff>
                  </to>
                </anchor>
              </controlPr>
            </control>
          </mc:Choice>
        </mc:AlternateContent>
        <mc:AlternateContent xmlns:mc="http://schemas.openxmlformats.org/markup-compatibility/2006">
          <mc:Choice Requires="x14">
            <control shapeId="69873" r:id="rId8" name="Check Box 1265">
              <controlPr defaultSize="0" autoFill="0" autoLine="0" autoPict="0" altText="">
                <anchor moveWithCells="1">
                  <from>
                    <xdr:col>1</xdr:col>
                    <xdr:colOff>0</xdr:colOff>
                    <xdr:row>44</xdr:row>
                    <xdr:rowOff>0</xdr:rowOff>
                  </from>
                  <to>
                    <xdr:col>2</xdr:col>
                    <xdr:colOff>0</xdr:colOff>
                    <xdr:row>45</xdr:row>
                    <xdr:rowOff>0</xdr:rowOff>
                  </to>
                </anchor>
              </controlPr>
            </control>
          </mc:Choice>
        </mc:AlternateContent>
        <mc:AlternateContent xmlns:mc="http://schemas.openxmlformats.org/markup-compatibility/2006">
          <mc:Choice Requires="x14">
            <control shapeId="69874" r:id="rId9" name="Check Box 1266">
              <controlPr defaultSize="0" autoFill="0" autoLine="0" autoPict="0" altText="">
                <anchor moveWithCells="1">
                  <from>
                    <xdr:col>1</xdr:col>
                    <xdr:colOff>0</xdr:colOff>
                    <xdr:row>49</xdr:row>
                    <xdr:rowOff>0</xdr:rowOff>
                  </from>
                  <to>
                    <xdr:col>2</xdr:col>
                    <xdr:colOff>0</xdr:colOff>
                    <xdr:row>49</xdr:row>
                    <xdr:rowOff>209550</xdr:rowOff>
                  </to>
                </anchor>
              </controlPr>
            </control>
          </mc:Choice>
        </mc:AlternateContent>
        <mc:AlternateContent xmlns:mc="http://schemas.openxmlformats.org/markup-compatibility/2006">
          <mc:Choice Requires="x14">
            <control shapeId="69875" r:id="rId10" name="Check Box 1267">
              <controlPr defaultSize="0" autoFill="0" autoLine="0" autoPict="0" altText="">
                <anchor moveWithCells="1">
                  <from>
                    <xdr:col>1</xdr:col>
                    <xdr:colOff>0</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69876" r:id="rId11" name="Check Box 1268">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877" r:id="rId12" name="Check Box 1269">
              <controlPr defaultSize="0" autoFill="0" autoLine="0" autoPict="0" altText="">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69878" r:id="rId13" name="Check Box 1270">
              <controlPr defaultSize="0" autoFill="0" autoLine="0" autoPict="0" altText="">
                <anchor moveWithCells="1">
                  <from>
                    <xdr:col>1</xdr:col>
                    <xdr:colOff>0</xdr:colOff>
                    <xdr:row>61</xdr:row>
                    <xdr:rowOff>0</xdr:rowOff>
                  </from>
                  <to>
                    <xdr:col>2</xdr:col>
                    <xdr:colOff>0</xdr:colOff>
                    <xdr:row>62</xdr:row>
                    <xdr:rowOff>0</xdr:rowOff>
                  </to>
                </anchor>
              </controlPr>
            </control>
          </mc:Choice>
        </mc:AlternateContent>
        <mc:AlternateContent xmlns:mc="http://schemas.openxmlformats.org/markup-compatibility/2006">
          <mc:Choice Requires="x14">
            <control shapeId="69879" r:id="rId14" name="Check Box 1271">
              <controlPr defaultSize="0" autoFill="0" autoLine="0" autoPict="0" altText="">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69882" r:id="rId15" name="Check Box 1274">
              <controlPr defaultSize="0" autoFill="0" autoLine="0" autoPict="0" altText="">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69883" r:id="rId16" name="Check Box 1275">
              <controlPr defaultSize="0" autoFill="0" autoLine="0" autoPict="0" altText="">
                <anchor moveWithCells="1">
                  <from>
                    <xdr:col>1</xdr:col>
                    <xdr:colOff>0</xdr:colOff>
                    <xdr:row>74</xdr:row>
                    <xdr:rowOff>0</xdr:rowOff>
                  </from>
                  <to>
                    <xdr:col>2</xdr:col>
                    <xdr:colOff>0</xdr:colOff>
                    <xdr:row>75</xdr:row>
                    <xdr:rowOff>0</xdr:rowOff>
                  </to>
                </anchor>
              </controlPr>
            </control>
          </mc:Choice>
        </mc:AlternateContent>
        <mc:AlternateContent xmlns:mc="http://schemas.openxmlformats.org/markup-compatibility/2006">
          <mc:Choice Requires="x14">
            <control shapeId="69884" r:id="rId17" name="Check Box 1276">
              <controlPr defaultSize="0" autoFill="0" autoLine="0" autoPict="0" altText="">
                <anchor moveWithCells="1">
                  <from>
                    <xdr:col>1</xdr:col>
                    <xdr:colOff>0</xdr:colOff>
                    <xdr:row>79</xdr:row>
                    <xdr:rowOff>0</xdr:rowOff>
                  </from>
                  <to>
                    <xdr:col>2</xdr:col>
                    <xdr:colOff>0</xdr:colOff>
                    <xdr:row>79</xdr:row>
                    <xdr:rowOff>209550</xdr:rowOff>
                  </to>
                </anchor>
              </controlPr>
            </control>
          </mc:Choice>
        </mc:AlternateContent>
        <mc:AlternateContent xmlns:mc="http://schemas.openxmlformats.org/markup-compatibility/2006">
          <mc:Choice Requires="x14">
            <control shapeId="69885" r:id="rId18" name="Check Box 1277">
              <controlPr defaultSize="0" autoFill="0" autoLine="0" autoPict="0" altText="">
                <anchor moveWithCells="1">
                  <from>
                    <xdr:col>1</xdr:col>
                    <xdr:colOff>0</xdr:colOff>
                    <xdr:row>82</xdr:row>
                    <xdr:rowOff>0</xdr:rowOff>
                  </from>
                  <to>
                    <xdr:col>2</xdr:col>
                    <xdr:colOff>0</xdr:colOff>
                    <xdr:row>83</xdr:row>
                    <xdr:rowOff>0</xdr:rowOff>
                  </to>
                </anchor>
              </controlPr>
            </control>
          </mc:Choice>
        </mc:AlternateContent>
        <mc:AlternateContent xmlns:mc="http://schemas.openxmlformats.org/markup-compatibility/2006">
          <mc:Choice Requires="x14">
            <control shapeId="69886" r:id="rId19" name="Check Box 1278">
              <controlPr defaultSize="0" autoFill="0" autoLine="0" autoPict="0" altText="">
                <anchor moveWithCells="1">
                  <from>
                    <xdr:col>1</xdr:col>
                    <xdr:colOff>0</xdr:colOff>
                    <xdr:row>85</xdr:row>
                    <xdr:rowOff>0</xdr:rowOff>
                  </from>
                  <to>
                    <xdr:col>2</xdr:col>
                    <xdr:colOff>0</xdr:colOff>
                    <xdr:row>86</xdr:row>
                    <xdr:rowOff>0</xdr:rowOff>
                  </to>
                </anchor>
              </controlPr>
            </control>
          </mc:Choice>
        </mc:AlternateContent>
        <mc:AlternateContent xmlns:mc="http://schemas.openxmlformats.org/markup-compatibility/2006">
          <mc:Choice Requires="x14">
            <control shapeId="69887" r:id="rId20" name="Check Box 1279">
              <controlPr defaultSize="0" autoFill="0" autoLine="0" autoPict="0" altText="">
                <anchor moveWithCells="1">
                  <from>
                    <xdr:col>1</xdr:col>
                    <xdr:colOff>0</xdr:colOff>
                    <xdr:row>88</xdr:row>
                    <xdr:rowOff>0</xdr:rowOff>
                  </from>
                  <to>
                    <xdr:col>2</xdr:col>
                    <xdr:colOff>0</xdr:colOff>
                    <xdr:row>89</xdr:row>
                    <xdr:rowOff>0</xdr:rowOff>
                  </to>
                </anchor>
              </controlPr>
            </control>
          </mc:Choice>
        </mc:AlternateContent>
        <mc:AlternateContent xmlns:mc="http://schemas.openxmlformats.org/markup-compatibility/2006">
          <mc:Choice Requires="x14">
            <control shapeId="69888" r:id="rId21" name="Check Box 1280">
              <controlPr defaultSize="0" autoFill="0" autoLine="0" autoPict="0" altText="">
                <anchor moveWithCells="1">
                  <from>
                    <xdr:col>1</xdr:col>
                    <xdr:colOff>0</xdr:colOff>
                    <xdr:row>117</xdr:row>
                    <xdr:rowOff>0</xdr:rowOff>
                  </from>
                  <to>
                    <xdr:col>2</xdr:col>
                    <xdr:colOff>0</xdr:colOff>
                    <xdr:row>118</xdr:row>
                    <xdr:rowOff>0</xdr:rowOff>
                  </to>
                </anchor>
              </controlPr>
            </control>
          </mc:Choice>
        </mc:AlternateContent>
        <mc:AlternateContent xmlns:mc="http://schemas.openxmlformats.org/markup-compatibility/2006">
          <mc:Choice Requires="x14">
            <control shapeId="69889" r:id="rId22" name="Check Box 1281">
              <controlPr defaultSize="0" autoFill="0" autoLine="0" autoPict="0" altText="">
                <anchor moveWithCells="1">
                  <from>
                    <xdr:col>1</xdr:col>
                    <xdr:colOff>0</xdr:colOff>
                    <xdr:row>119</xdr:row>
                    <xdr:rowOff>0</xdr:rowOff>
                  </from>
                  <to>
                    <xdr:col>2</xdr:col>
                    <xdr:colOff>0</xdr:colOff>
                    <xdr:row>120</xdr:row>
                    <xdr:rowOff>0</xdr:rowOff>
                  </to>
                </anchor>
              </controlPr>
            </control>
          </mc:Choice>
        </mc:AlternateContent>
        <mc:AlternateContent xmlns:mc="http://schemas.openxmlformats.org/markup-compatibility/2006">
          <mc:Choice Requires="x14">
            <control shapeId="69899" r:id="rId23" name="Check Box 1291">
              <controlPr defaultSize="0" autoFill="0" autoLine="0" autoPict="0" altText="">
                <anchor moveWithCells="1">
                  <from>
                    <xdr:col>1</xdr:col>
                    <xdr:colOff>0</xdr:colOff>
                    <xdr:row>124</xdr:row>
                    <xdr:rowOff>0</xdr:rowOff>
                  </from>
                  <to>
                    <xdr:col>2</xdr:col>
                    <xdr:colOff>0</xdr:colOff>
                    <xdr:row>124</xdr:row>
                    <xdr:rowOff>209550</xdr:rowOff>
                  </to>
                </anchor>
              </controlPr>
            </control>
          </mc:Choice>
        </mc:AlternateContent>
        <mc:AlternateContent xmlns:mc="http://schemas.openxmlformats.org/markup-compatibility/2006">
          <mc:Choice Requires="x14">
            <control shapeId="69932" r:id="rId24" name="Check Box 1324">
              <controlPr defaultSize="0" autoFill="0" autoLine="0" autoPict="0" altText="">
                <anchor moveWithCells="1">
                  <from>
                    <xdr:col>1</xdr:col>
                    <xdr:colOff>0</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69933" r:id="rId25" name="Check Box 132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69936" r:id="rId26" name="Check Box 1328">
              <controlPr defaultSize="0" autoFill="0" autoLine="0" autoPict="0" altText="">
                <anchor moveWithCells="1">
                  <from>
                    <xdr:col>1</xdr:col>
                    <xdr:colOff>0</xdr:colOff>
                    <xdr:row>97</xdr:row>
                    <xdr:rowOff>0</xdr:rowOff>
                  </from>
                  <to>
                    <xdr:col>2</xdr:col>
                    <xdr:colOff>0</xdr:colOff>
                    <xdr:row>98</xdr:row>
                    <xdr:rowOff>0</xdr:rowOff>
                  </to>
                </anchor>
              </controlPr>
            </control>
          </mc:Choice>
        </mc:AlternateContent>
        <mc:AlternateContent xmlns:mc="http://schemas.openxmlformats.org/markup-compatibility/2006">
          <mc:Choice Requires="x14">
            <control shapeId="69937" r:id="rId27" name="Check Box 1329">
              <controlPr defaultSize="0" autoFill="0" autoLine="0" autoPict="0" altText="">
                <anchor moveWithCells="1">
                  <from>
                    <xdr:col>1</xdr:col>
                    <xdr:colOff>0</xdr:colOff>
                    <xdr:row>100</xdr:row>
                    <xdr:rowOff>0</xdr:rowOff>
                  </from>
                  <to>
                    <xdr:col>2</xdr:col>
                    <xdr:colOff>0</xdr:colOff>
                    <xdr:row>101</xdr:row>
                    <xdr:rowOff>0</xdr:rowOff>
                  </to>
                </anchor>
              </controlPr>
            </control>
          </mc:Choice>
        </mc:AlternateContent>
        <mc:AlternateContent xmlns:mc="http://schemas.openxmlformats.org/markup-compatibility/2006">
          <mc:Choice Requires="x14">
            <control shapeId="69938" r:id="rId28" name="Check Box 1330">
              <controlPr defaultSize="0" autoFill="0" autoLine="0" autoPict="0" altText="">
                <anchor moveWithCells="1">
                  <from>
                    <xdr:col>1</xdr:col>
                    <xdr:colOff>0</xdr:colOff>
                    <xdr:row>103</xdr:row>
                    <xdr:rowOff>0</xdr:rowOff>
                  </from>
                  <to>
                    <xdr:col>2</xdr:col>
                    <xdr:colOff>0</xdr:colOff>
                    <xdr:row>104</xdr:row>
                    <xdr:rowOff>0</xdr:rowOff>
                  </to>
                </anchor>
              </controlPr>
            </control>
          </mc:Choice>
        </mc:AlternateContent>
        <mc:AlternateContent xmlns:mc="http://schemas.openxmlformats.org/markup-compatibility/2006">
          <mc:Choice Requires="x14">
            <control shapeId="69939" r:id="rId29" name="Check Box 1331">
              <controlPr defaultSize="0" autoFill="0" autoLine="0" autoPict="0" altText="">
                <anchor moveWithCells="1">
                  <from>
                    <xdr:col>1</xdr:col>
                    <xdr:colOff>0</xdr:colOff>
                    <xdr:row>106</xdr:row>
                    <xdr:rowOff>0</xdr:rowOff>
                  </from>
                  <to>
                    <xdr:col>2</xdr:col>
                    <xdr:colOff>0</xdr:colOff>
                    <xdr:row>107</xdr:row>
                    <xdr:rowOff>0</xdr:rowOff>
                  </to>
                </anchor>
              </controlPr>
            </control>
          </mc:Choice>
        </mc:AlternateContent>
        <mc:AlternateContent xmlns:mc="http://schemas.openxmlformats.org/markup-compatibility/2006">
          <mc:Choice Requires="x14">
            <control shapeId="69942" r:id="rId30" name="Check Box 1334">
              <controlPr defaultSize="0" autoFill="0" autoLine="0" autoPict="0" altText="">
                <anchor moveWithCells="1">
                  <from>
                    <xdr:col>1</xdr:col>
                    <xdr:colOff>0</xdr:colOff>
                    <xdr:row>115</xdr:row>
                    <xdr:rowOff>0</xdr:rowOff>
                  </from>
                  <to>
                    <xdr:col>2</xdr:col>
                    <xdr:colOff>0</xdr:colOff>
                    <xdr:row>116</xdr:row>
                    <xdr:rowOff>0</xdr:rowOff>
                  </to>
                </anchor>
              </controlPr>
            </control>
          </mc:Choice>
        </mc:AlternateContent>
        <mc:AlternateContent xmlns:mc="http://schemas.openxmlformats.org/markup-compatibility/2006">
          <mc:Choice Requires="x14">
            <control shapeId="69943" r:id="rId31" name="Check Box 1335">
              <controlPr defaultSize="0" autoFill="0" autoLine="0" autoPict="0" altText="">
                <anchor moveWithCells="1">
                  <from>
                    <xdr:col>1</xdr:col>
                    <xdr:colOff>0</xdr:colOff>
                    <xdr:row>136</xdr:row>
                    <xdr:rowOff>0</xdr:rowOff>
                  </from>
                  <to>
                    <xdr:col>2</xdr:col>
                    <xdr:colOff>0</xdr:colOff>
                    <xdr:row>137</xdr:row>
                    <xdr:rowOff>0</xdr:rowOff>
                  </to>
                </anchor>
              </controlPr>
            </control>
          </mc:Choice>
        </mc:AlternateContent>
        <mc:AlternateContent xmlns:mc="http://schemas.openxmlformats.org/markup-compatibility/2006">
          <mc:Choice Requires="x14">
            <control shapeId="69944" r:id="rId32" name="Check Box 1336">
              <controlPr defaultSize="0" autoFill="0" autoLine="0" autoPict="0" altText="">
                <anchor moveWithCells="1">
                  <from>
                    <xdr:col>1</xdr:col>
                    <xdr:colOff>0</xdr:colOff>
                    <xdr:row>139</xdr:row>
                    <xdr:rowOff>0</xdr:rowOff>
                  </from>
                  <to>
                    <xdr:col>2</xdr:col>
                    <xdr:colOff>0</xdr:colOff>
                    <xdr:row>140</xdr:row>
                    <xdr:rowOff>0</xdr:rowOff>
                  </to>
                </anchor>
              </controlPr>
            </control>
          </mc:Choice>
        </mc:AlternateContent>
        <mc:AlternateContent xmlns:mc="http://schemas.openxmlformats.org/markup-compatibility/2006">
          <mc:Choice Requires="x14">
            <control shapeId="69945" r:id="rId33" name="Check Box 1337">
              <controlPr defaultSize="0" autoFill="0" autoLine="0" autoPict="0" altText="">
                <anchor moveWithCells="1">
                  <from>
                    <xdr:col>1</xdr:col>
                    <xdr:colOff>0</xdr:colOff>
                    <xdr:row>159</xdr:row>
                    <xdr:rowOff>0</xdr:rowOff>
                  </from>
                  <to>
                    <xdr:col>2</xdr:col>
                    <xdr:colOff>0</xdr:colOff>
                    <xdr:row>160</xdr:row>
                    <xdr:rowOff>0</xdr:rowOff>
                  </to>
                </anchor>
              </controlPr>
            </control>
          </mc:Choice>
        </mc:AlternateContent>
        <mc:AlternateContent xmlns:mc="http://schemas.openxmlformats.org/markup-compatibility/2006">
          <mc:Choice Requires="x14">
            <control shapeId="69947" r:id="rId34" name="Check Box 1339">
              <controlPr defaultSize="0" autoFill="0" autoLine="0" autoPict="0" altText="">
                <anchor moveWithCells="1">
                  <from>
                    <xdr:col>1</xdr:col>
                    <xdr:colOff>0</xdr:colOff>
                    <xdr:row>154</xdr:row>
                    <xdr:rowOff>0</xdr:rowOff>
                  </from>
                  <to>
                    <xdr:col>2</xdr:col>
                    <xdr:colOff>0</xdr:colOff>
                    <xdr:row>155</xdr:row>
                    <xdr:rowOff>0</xdr:rowOff>
                  </to>
                </anchor>
              </controlPr>
            </control>
          </mc:Choice>
        </mc:AlternateContent>
        <mc:AlternateContent xmlns:mc="http://schemas.openxmlformats.org/markup-compatibility/2006">
          <mc:Choice Requires="x14">
            <control shapeId="69948" r:id="rId35" name="Check Box 1340">
              <controlPr defaultSize="0" autoFill="0" autoLine="0" autoPict="0" altText="">
                <anchor moveWithCells="1">
                  <from>
                    <xdr:col>1</xdr:col>
                    <xdr:colOff>0</xdr:colOff>
                    <xdr:row>161</xdr:row>
                    <xdr:rowOff>0</xdr:rowOff>
                  </from>
                  <to>
                    <xdr:col>2</xdr:col>
                    <xdr:colOff>0</xdr:colOff>
                    <xdr:row>162</xdr:row>
                    <xdr:rowOff>0</xdr:rowOff>
                  </to>
                </anchor>
              </controlPr>
            </control>
          </mc:Choice>
        </mc:AlternateContent>
        <mc:AlternateContent xmlns:mc="http://schemas.openxmlformats.org/markup-compatibility/2006">
          <mc:Choice Requires="x14">
            <control shapeId="69955" r:id="rId36" name="Check Box 1347">
              <controlPr defaultSize="0" autoFill="0" autoLine="0" autoPict="0" altText="">
                <anchor moveWithCells="1">
                  <from>
                    <xdr:col>1</xdr:col>
                    <xdr:colOff>0</xdr:colOff>
                    <xdr:row>25</xdr:row>
                    <xdr:rowOff>0</xdr:rowOff>
                  </from>
                  <to>
                    <xdr:col>2</xdr:col>
                    <xdr:colOff>0</xdr:colOff>
                    <xdr:row>25</xdr:row>
                    <xdr:rowOff>209550</xdr:rowOff>
                  </to>
                </anchor>
              </controlPr>
            </control>
          </mc:Choice>
        </mc:AlternateContent>
        <mc:AlternateContent xmlns:mc="http://schemas.openxmlformats.org/markup-compatibility/2006">
          <mc:Choice Requires="x14">
            <control shapeId="69956" r:id="rId37" name="Check Box 1348">
              <controlPr defaultSize="0" autoFill="0" autoLine="0" autoPict="0" altText="">
                <anchor moveWithCells="1">
                  <from>
                    <xdr:col>1</xdr:col>
                    <xdr:colOff>0</xdr:colOff>
                    <xdr:row>28</xdr:row>
                    <xdr:rowOff>0</xdr:rowOff>
                  </from>
                  <to>
                    <xdr:col>2</xdr:col>
                    <xdr:colOff>0</xdr:colOff>
                    <xdr:row>28</xdr:row>
                    <xdr:rowOff>209550</xdr:rowOff>
                  </to>
                </anchor>
              </controlPr>
            </control>
          </mc:Choice>
        </mc:AlternateContent>
        <mc:AlternateContent xmlns:mc="http://schemas.openxmlformats.org/markup-compatibility/2006">
          <mc:Choice Requires="x14">
            <control shapeId="69957" r:id="rId38" name="Check Box 1349">
              <controlPr defaultSize="0" autoFill="0" autoLine="0" autoPict="0" altText="">
                <anchor moveWithCells="1">
                  <from>
                    <xdr:col>1</xdr:col>
                    <xdr:colOff>0</xdr:colOff>
                    <xdr:row>31</xdr:row>
                    <xdr:rowOff>0</xdr:rowOff>
                  </from>
                  <to>
                    <xdr:col>2</xdr:col>
                    <xdr:colOff>0</xdr:colOff>
                    <xdr:row>31</xdr:row>
                    <xdr:rowOff>209550</xdr:rowOff>
                  </to>
                </anchor>
              </controlPr>
            </control>
          </mc:Choice>
        </mc:AlternateContent>
        <mc:AlternateContent xmlns:mc="http://schemas.openxmlformats.org/markup-compatibility/2006">
          <mc:Choice Requires="x14">
            <control shapeId="69958" r:id="rId39" name="Check Box 1350">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959" r:id="rId40" name="Check Box 1351">
              <controlPr defaultSize="0" autoFill="0" autoLine="0" autoPict="0" altText="">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69960" r:id="rId41" name="Check Box 1352">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62" r:id="rId42" name="Check Box 1354">
              <controlPr defaultSize="0" autoFill="0" autoLine="0" autoPict="0" altText="">
                <anchor moveWithCells="1">
                  <from>
                    <xdr:col>1</xdr:col>
                    <xdr:colOff>0</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69963" r:id="rId43" name="Check Box 1355">
              <controlPr defaultSize="0" autoFill="0" autoLine="0" autoPict="0" altText="">
                <anchor moveWithCells="1">
                  <from>
                    <xdr:col>1</xdr:col>
                    <xdr:colOff>0</xdr:colOff>
                    <xdr:row>91</xdr:row>
                    <xdr:rowOff>0</xdr:rowOff>
                  </from>
                  <to>
                    <xdr:col>2</xdr:col>
                    <xdr:colOff>0</xdr:colOff>
                    <xdr:row>92</xdr:row>
                    <xdr:rowOff>0</xdr:rowOff>
                  </to>
                </anchor>
              </controlPr>
            </control>
          </mc:Choice>
        </mc:AlternateContent>
        <mc:AlternateContent xmlns:mc="http://schemas.openxmlformats.org/markup-compatibility/2006">
          <mc:Choice Requires="x14">
            <control shapeId="69964" r:id="rId44" name="Check Box 1356">
              <controlPr defaultSize="0" autoFill="0" autoLine="0" autoPict="0" altText="">
                <anchor moveWithCells="1">
                  <from>
                    <xdr:col>1</xdr:col>
                    <xdr:colOff>0</xdr:colOff>
                    <xdr:row>94</xdr:row>
                    <xdr:rowOff>0</xdr:rowOff>
                  </from>
                  <to>
                    <xdr:col>2</xdr:col>
                    <xdr:colOff>0</xdr:colOff>
                    <xdr:row>95</xdr:row>
                    <xdr:rowOff>0</xdr:rowOff>
                  </to>
                </anchor>
              </controlPr>
            </control>
          </mc:Choice>
        </mc:AlternateContent>
        <mc:AlternateContent xmlns:mc="http://schemas.openxmlformats.org/markup-compatibility/2006">
          <mc:Choice Requires="x14">
            <control shapeId="69965" r:id="rId45" name="Check Box 1357">
              <controlPr defaultSize="0" autoFill="0" autoLine="0" autoPict="0" altText="">
                <anchor moveWithCells="1">
                  <from>
                    <xdr:col>1</xdr:col>
                    <xdr:colOff>0</xdr:colOff>
                    <xdr:row>109</xdr:row>
                    <xdr:rowOff>0</xdr:rowOff>
                  </from>
                  <to>
                    <xdr:col>2</xdr:col>
                    <xdr:colOff>0</xdr:colOff>
                    <xdr:row>110</xdr:row>
                    <xdr:rowOff>0</xdr:rowOff>
                  </to>
                </anchor>
              </controlPr>
            </control>
          </mc:Choice>
        </mc:AlternateContent>
        <mc:AlternateContent xmlns:mc="http://schemas.openxmlformats.org/markup-compatibility/2006">
          <mc:Choice Requires="x14">
            <control shapeId="69966" r:id="rId46" name="Check Box 1358">
              <controlPr defaultSize="0" autoFill="0" autoLine="0" autoPict="0" altText="">
                <anchor moveWithCells="1">
                  <from>
                    <xdr:col>1</xdr:col>
                    <xdr:colOff>0</xdr:colOff>
                    <xdr:row>112</xdr:row>
                    <xdr:rowOff>0</xdr:rowOff>
                  </from>
                  <to>
                    <xdr:col>2</xdr:col>
                    <xdr:colOff>0</xdr:colOff>
                    <xdr:row>113</xdr:row>
                    <xdr:rowOff>0</xdr:rowOff>
                  </to>
                </anchor>
              </controlPr>
            </control>
          </mc:Choice>
        </mc:AlternateContent>
        <mc:AlternateContent xmlns:mc="http://schemas.openxmlformats.org/markup-compatibility/2006">
          <mc:Choice Requires="x14">
            <control shapeId="69967" r:id="rId47" name="Check Box 1359">
              <controlPr defaultSize="0" autoFill="0" autoLine="0" autoPict="0" altText="">
                <anchor moveWithCells="1">
                  <from>
                    <xdr:col>1</xdr:col>
                    <xdr:colOff>0</xdr:colOff>
                    <xdr:row>142</xdr:row>
                    <xdr:rowOff>0</xdr:rowOff>
                  </from>
                  <to>
                    <xdr:col>2</xdr:col>
                    <xdr:colOff>0</xdr:colOff>
                    <xdr:row>143</xdr:row>
                    <xdr:rowOff>0</xdr:rowOff>
                  </to>
                </anchor>
              </controlPr>
            </control>
          </mc:Choice>
        </mc:AlternateContent>
        <mc:AlternateContent xmlns:mc="http://schemas.openxmlformats.org/markup-compatibility/2006">
          <mc:Choice Requires="x14">
            <control shapeId="69968" r:id="rId48" name="Check Box 1360">
              <controlPr defaultSize="0" autoFill="0" autoLine="0" autoPict="0" altText="">
                <anchor moveWithCells="1">
                  <from>
                    <xdr:col>1</xdr:col>
                    <xdr:colOff>0</xdr:colOff>
                    <xdr:row>145</xdr:row>
                    <xdr:rowOff>0</xdr:rowOff>
                  </from>
                  <to>
                    <xdr:col>2</xdr:col>
                    <xdr:colOff>0</xdr:colOff>
                    <xdr:row>146</xdr:row>
                    <xdr:rowOff>0</xdr:rowOff>
                  </to>
                </anchor>
              </controlPr>
            </control>
          </mc:Choice>
        </mc:AlternateContent>
        <mc:AlternateContent xmlns:mc="http://schemas.openxmlformats.org/markup-compatibility/2006">
          <mc:Choice Requires="x14">
            <control shapeId="69969" r:id="rId49" name="Check Box 1361">
              <controlPr defaultSize="0" autoFill="0" autoLine="0" autoPict="0" altText="">
                <anchor moveWithCells="1">
                  <from>
                    <xdr:col>1</xdr:col>
                    <xdr:colOff>0</xdr:colOff>
                    <xdr:row>148</xdr:row>
                    <xdr:rowOff>0</xdr:rowOff>
                  </from>
                  <to>
                    <xdr:col>2</xdr:col>
                    <xdr:colOff>0</xdr:colOff>
                    <xdr:row>149</xdr:row>
                    <xdr:rowOff>0</xdr:rowOff>
                  </to>
                </anchor>
              </controlPr>
            </control>
          </mc:Choice>
        </mc:AlternateContent>
        <mc:AlternateContent xmlns:mc="http://schemas.openxmlformats.org/markup-compatibility/2006">
          <mc:Choice Requires="x14">
            <control shapeId="69970" r:id="rId50" name="Check Box 1362">
              <controlPr defaultSize="0" autoFill="0" autoLine="0" autoPict="0" altText="">
                <anchor moveWithCells="1">
                  <from>
                    <xdr:col>1</xdr:col>
                    <xdr:colOff>0</xdr:colOff>
                    <xdr:row>157</xdr:row>
                    <xdr:rowOff>0</xdr:rowOff>
                  </from>
                  <to>
                    <xdr:col>2</xdr:col>
                    <xdr:colOff>0</xdr:colOff>
                    <xdr:row>158</xdr:row>
                    <xdr:rowOff>0</xdr:rowOff>
                  </to>
                </anchor>
              </controlPr>
            </control>
          </mc:Choice>
        </mc:AlternateContent>
        <mc:AlternateContent xmlns:mc="http://schemas.openxmlformats.org/markup-compatibility/2006">
          <mc:Choice Requires="x14">
            <control shapeId="69971" r:id="rId51" name="Check Box 1363">
              <controlPr defaultSize="0" autoFill="0" autoLine="0" autoPict="0" altText="">
                <anchor moveWithCells="1">
                  <from>
                    <xdr:col>1</xdr:col>
                    <xdr:colOff>0</xdr:colOff>
                    <xdr:row>151</xdr:row>
                    <xdr:rowOff>0</xdr:rowOff>
                  </from>
                  <to>
                    <xdr:col>2</xdr:col>
                    <xdr:colOff>0</xdr:colOff>
                    <xdr:row>152</xdr:row>
                    <xdr:rowOff>0</xdr:rowOff>
                  </to>
                </anchor>
              </controlPr>
            </control>
          </mc:Choice>
        </mc:AlternateContent>
        <mc:AlternateContent xmlns:mc="http://schemas.openxmlformats.org/markup-compatibility/2006">
          <mc:Choice Requires="x14">
            <control shapeId="69972" r:id="rId52" name="Check Box 1364">
              <controlPr defaultSize="0" autoFill="0" autoLine="0" autoPict="0" altText="">
                <anchor moveWithCells="1">
                  <from>
                    <xdr:col>1</xdr:col>
                    <xdr:colOff>0</xdr:colOff>
                    <xdr:row>127</xdr:row>
                    <xdr:rowOff>0</xdr:rowOff>
                  </from>
                  <to>
                    <xdr:col>2</xdr:col>
                    <xdr:colOff>0</xdr:colOff>
                    <xdr:row>128</xdr:row>
                    <xdr:rowOff>0</xdr:rowOff>
                  </to>
                </anchor>
              </controlPr>
            </control>
          </mc:Choice>
        </mc:AlternateContent>
        <mc:AlternateContent xmlns:mc="http://schemas.openxmlformats.org/markup-compatibility/2006">
          <mc:Choice Requires="x14">
            <control shapeId="69973" r:id="rId53" name="Check Box 1365">
              <controlPr defaultSize="0" autoFill="0" autoLine="0" autoPict="0" altText="">
                <anchor moveWithCells="1">
                  <from>
                    <xdr:col>1</xdr:col>
                    <xdr:colOff>0</xdr:colOff>
                    <xdr:row>130</xdr:row>
                    <xdr:rowOff>0</xdr:rowOff>
                  </from>
                  <to>
                    <xdr:col>2</xdr:col>
                    <xdr:colOff>0</xdr:colOff>
                    <xdr:row>130</xdr:row>
                    <xdr:rowOff>209550</xdr:rowOff>
                  </to>
                </anchor>
              </controlPr>
            </control>
          </mc:Choice>
        </mc:AlternateContent>
        <mc:AlternateContent xmlns:mc="http://schemas.openxmlformats.org/markup-compatibility/2006">
          <mc:Choice Requires="x14">
            <control shapeId="69974" r:id="rId54" name="Check Box 1366">
              <controlPr defaultSize="0" autoFill="0" autoLine="0" autoPict="0" altText="">
                <anchor moveWithCells="1">
                  <from>
                    <xdr:col>1</xdr:col>
                    <xdr:colOff>0</xdr:colOff>
                    <xdr:row>133</xdr:row>
                    <xdr:rowOff>0</xdr:rowOff>
                  </from>
                  <to>
                    <xdr:col>2</xdr:col>
                    <xdr:colOff>0</xdr:colOff>
                    <xdr:row>133</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NOT(Projektgrundlagen!$I$26)</xm:f>
            <x14:dxf>
              <font>
                <strike/>
                <color theme="0" tint="-0.14996795556505021"/>
              </font>
              <fill>
                <patternFill>
                  <bgColor theme="0"/>
                </patternFill>
              </fill>
            </x14:dxf>
          </x14:cfRule>
          <xm:sqref>B16</xm:sqref>
        </x14:conditionalFormatting>
        <x14:conditionalFormatting xmlns:xm="http://schemas.microsoft.com/office/excel/2006/main">
          <x14:cfRule type="expression" priority="347" id="{48FF8C20-B8F1-4F78-BECB-7E655728312B}">
            <xm:f>NOT(Projektgrundlagen!$I$26)</xm:f>
            <x14:dxf>
              <font>
                <strike/>
                <color theme="0" tint="-0.14996795556505021"/>
              </font>
              <fill>
                <patternFill>
                  <bgColor theme="0"/>
                </patternFill>
              </fill>
            </x14:dxf>
          </x14:cfRule>
          <xm:sqref>B19</xm:sqref>
        </x14:conditionalFormatting>
        <x14:conditionalFormatting xmlns:xm="http://schemas.microsoft.com/office/excel/2006/main">
          <x14:cfRule type="expression" priority="345" id="{42CB7369-5441-4A09-B022-61E9C0CD43A7}">
            <xm:f>NOT(Projektgrundlagen!$I$26)</xm:f>
            <x14:dxf>
              <font>
                <strike/>
                <color theme="0" tint="-0.14996795556505021"/>
              </font>
              <fill>
                <patternFill>
                  <bgColor theme="0"/>
                </patternFill>
              </fill>
            </x14:dxf>
          </x14:cfRule>
          <xm:sqref>B22</xm:sqref>
        </x14:conditionalFormatting>
        <x14:conditionalFormatting xmlns:xm="http://schemas.microsoft.com/office/excel/2006/main">
          <x14:cfRule type="expression" priority="333" id="{6033F4A1-DAF4-4300-A163-92DED1B175EE}">
            <xm:f>(COUNTIF(Projektgrundlagen!$I$26:$I$27,TRUE)&lt;&gt;1)</xm:f>
            <x14:dxf>
              <font>
                <strike/>
                <color theme="0" tint="-0.14996795556505021"/>
              </font>
              <fill>
                <patternFill>
                  <bgColor theme="0"/>
                </patternFill>
              </fill>
            </x14:dxf>
          </x14:cfRule>
          <xm:sqref>B23:B46</xm:sqref>
        </x14:conditionalFormatting>
        <x14:conditionalFormatting xmlns:xm="http://schemas.microsoft.com/office/excel/2006/main">
          <x14:cfRule type="expression" priority="306" id="{8B7BE798-75EF-4A3F-96E7-0A1E30BE8449}">
            <xm:f>(COUNTIF(Projektgrundlagen!$I$26:$I$27,TRUE)&lt;&gt;1)</xm:f>
            <x14:dxf>
              <font>
                <strike/>
                <color theme="0" tint="-0.14996795556505021"/>
              </font>
              <fill>
                <patternFill>
                  <bgColor theme="0"/>
                </patternFill>
              </fill>
            </x14:dxf>
          </x14:cfRule>
          <xm:sqref>B55:B69</xm:sqref>
        </x14:conditionalFormatting>
        <x14:conditionalFormatting xmlns:xm="http://schemas.microsoft.com/office/excel/2006/main">
          <x14:cfRule type="expression" priority="304" id="{1A0BD9F8-5685-455B-BB1E-2B3F0E1ABFA0}">
            <xm:f>NOT(Projektgrundlagen!$I$26)</xm:f>
            <x14:dxf>
              <font>
                <strike/>
                <color theme="0" tint="-0.14996795556505021"/>
              </font>
              <fill>
                <patternFill>
                  <bgColor theme="0"/>
                </patternFill>
              </fill>
            </x14:dxf>
          </x14:cfRule>
          <xm:sqref>B70</xm:sqref>
        </x14:conditionalFormatting>
        <x14:conditionalFormatting xmlns:xm="http://schemas.microsoft.com/office/excel/2006/main">
          <x14:cfRule type="expression" priority="223" id="{DD85DF51-D45B-4744-8889-26D288738D81}">
            <xm:f>(COUNTIF(Projektgrundlagen!$I$26:$I$27,TRUE)&lt;&gt;1)</xm:f>
            <x14:dxf>
              <font>
                <strike/>
                <color theme="0" tint="-0.14996795556505021"/>
              </font>
              <fill>
                <patternFill>
                  <bgColor theme="0"/>
                </patternFill>
              </fill>
            </x14:dxf>
          </x14:cfRule>
          <xm:sqref>B127:B129</xm:sqref>
        </x14:conditionalFormatting>
        <x14:conditionalFormatting xmlns:xm="http://schemas.microsoft.com/office/excel/2006/main">
          <x14:cfRule type="expression" priority="221" id="{57C83463-554D-4B3A-A07A-C34773E05476}">
            <xm:f>OR(NOT(Projektgrundlagen!$I$26),NOT(Projektgrundlagen!$I$27))</xm:f>
            <x14:dxf>
              <font>
                <strike/>
                <color theme="0" tint="-0.14996795556505021"/>
              </font>
              <fill>
                <patternFill>
                  <bgColor theme="0"/>
                </patternFill>
              </fill>
            </x14:dxf>
          </x14:cfRule>
          <xm:sqref>B130</xm:sqref>
        </x14:conditionalFormatting>
        <x14:conditionalFormatting xmlns:xm="http://schemas.microsoft.com/office/excel/2006/main">
          <x14:cfRule type="expression" priority="219" id="{9FF8EFDC-2C07-4A6B-B5C9-F3D6BAB35DDE}">
            <xm:f>OR(NOT(Projektgrundlagen!$I$26),NOT(Projektgrundlagen!$I$27))</xm:f>
            <x14:dxf>
              <font>
                <strike/>
                <color theme="0" tint="-0.14996795556505021"/>
              </font>
              <fill>
                <patternFill>
                  <bgColor theme="0"/>
                </patternFill>
              </fill>
            </x14:dxf>
          </x14:cfRule>
          <xm:sqref>B133</xm:sqref>
        </x14:conditionalFormatting>
        <x14:conditionalFormatting xmlns:xm="http://schemas.microsoft.com/office/excel/2006/main">
          <x14:cfRule type="expression" priority="217" id="{AF7B2F8C-5CC6-4FB1-ADFE-023B4C86D5A1}">
            <xm:f>OR(NOT(Projektgrundlagen!$I$26),NOT(Projektgrundlagen!$I$27))</xm:f>
            <x14:dxf>
              <font>
                <strike/>
                <color theme="0" tint="-0.14996795556505021"/>
              </font>
              <fill>
                <patternFill>
                  <bgColor theme="0"/>
                </patternFill>
              </fill>
            </x14:dxf>
          </x14:cfRule>
          <xm:sqref>B136</xm:sqref>
        </x14:conditionalFormatting>
        <x14:conditionalFormatting xmlns:xm="http://schemas.microsoft.com/office/excel/2006/main">
          <x14:cfRule type="expression" priority="203" id="{12D7CBAB-DF7C-418D-A7F0-A63C299422D5}">
            <xm:f>(COUNTIF(Projektgrundlagen!$I$26:$I$27,TRUE)&lt;&gt;1)</xm:f>
            <x14:dxf>
              <font>
                <strike/>
                <color theme="0" tint="-0.14996795556505021"/>
              </font>
              <fill>
                <patternFill>
                  <bgColor theme="0"/>
                </patternFill>
              </fill>
            </x14:dxf>
          </x14:cfRule>
          <xm:sqref>B137:B157</xm:sqref>
        </x14:conditionalFormatting>
        <x14:conditionalFormatting xmlns:xm="http://schemas.microsoft.com/office/excel/2006/main">
          <x14:cfRule type="expression" priority="679" id="{3B8DE357-A3F6-4AE7-9D87-E48FB6793C47}">
            <xm:f>(COUNTIF(Projektgrundlagen!$I$26:$I$27,TRUE)&lt;&gt;1)</xm:f>
            <x14:dxf>
              <font>
                <strike/>
                <color theme="0" tint="-0.14996795556505021"/>
              </font>
              <fill>
                <patternFill>
                  <bgColor theme="0"/>
                </patternFill>
              </fill>
            </x14:dxf>
          </x14:cfRule>
          <xm:sqref>B14:K15 B17:B18 B20:B21 B71:B76 B125:K126</xm:sqref>
        </x14:conditionalFormatting>
        <x14:conditionalFormatting xmlns:xm="http://schemas.microsoft.com/office/excel/2006/main">
          <x14:cfRule type="expression" priority="316" id="{2EA38D9B-4F9E-480D-979E-BA7BE8E86560}">
            <xm:f>(COUNTIF(Projektgrundlagen!$I$26:$I$27,TRUE)&lt;&gt;1)</xm:f>
            <x14:dxf>
              <font>
                <strike/>
                <color theme="0" tint="-0.14996795556505021"/>
              </font>
              <fill>
                <patternFill>
                  <bgColor theme="0"/>
                </patternFill>
              </fill>
            </x14:dxf>
          </x14:cfRule>
          <xm:sqref>B50:K54</xm:sqref>
        </x14:conditionalFormatting>
        <x14:conditionalFormatting xmlns:xm="http://schemas.microsoft.com/office/excel/2006/main">
          <x14:cfRule type="expression" priority="67" id="{2D8512E8-0AD9-4328-891D-6F86DD26D8F5}">
            <xm:f>(COUNTIF(Projektgrundlagen!$I$26:$I$27,TRUE)&lt;&gt;1)</xm:f>
            <x14:dxf>
              <font>
                <strike/>
                <color theme="0" tint="-0.14996795556505021"/>
              </font>
              <fill>
                <patternFill>
                  <bgColor theme="0"/>
                </patternFill>
              </fill>
            </x14:dxf>
          </x14:cfRule>
          <xm:sqref>B80:K121</xm:sqref>
        </x14:conditionalFormatting>
        <x14:conditionalFormatting xmlns:xm="http://schemas.microsoft.com/office/excel/2006/main">
          <x14:cfRule type="expression" priority="170" id="{81752982-BBD4-4A22-BC30-B22DEC173A6C}">
            <xm:f>(COUNTIF(Projektgrundlagen!$I$26:$I$27,TRUE)&lt;&gt;1)</xm:f>
            <x14:dxf>
              <font>
                <strike/>
                <color theme="0" tint="-0.14996795556505021"/>
              </font>
              <fill>
                <patternFill>
                  <bgColor theme="0"/>
                </patternFill>
              </fill>
            </x14:dxf>
          </x14:cfRule>
          <xm:sqref>B131:K132</xm:sqref>
        </x14:conditionalFormatting>
        <x14:conditionalFormatting xmlns:xm="http://schemas.microsoft.com/office/excel/2006/main">
          <x14:cfRule type="expression" priority="153" id="{3B8A1419-7294-4F47-B271-4528463A1B50}">
            <xm:f>(COUNTIF(Projektgrundlagen!$I$26:$I$27,TRUE)&lt;&gt;1)</xm:f>
            <x14:dxf>
              <font>
                <strike/>
                <color theme="0" tint="-0.14996795556505021"/>
              </font>
              <fill>
                <patternFill>
                  <bgColor theme="0"/>
                </patternFill>
              </fill>
            </x14:dxf>
          </x14:cfRule>
          <xm:sqref>B134:K135</xm:sqref>
        </x14:conditionalFormatting>
        <x14:conditionalFormatting xmlns:xm="http://schemas.microsoft.com/office/excel/2006/main">
          <x14:cfRule type="expression" priority="225" id="{1A043971-3B0C-46DB-AB51-72440FEC9824}">
            <xm:f>(COUNTIF(Projektgrundlagen!$I$26:$I$27,TRUE)&lt;&gt;1)</xm:f>
            <x14:dxf>
              <font>
                <strike/>
                <color theme="0" tint="-0.14996795556505021"/>
              </font>
              <fill>
                <patternFill>
                  <bgColor theme="0"/>
                </patternFill>
              </fill>
            </x14:dxf>
          </x14:cfRule>
          <xm:sqref>B158:K163</xm:sqref>
        </x14:conditionalFormatting>
        <x14:conditionalFormatting xmlns:xm="http://schemas.microsoft.com/office/excel/2006/main">
          <x14:cfRule type="expression" priority="1" id="{12E99E91-27FA-4936-A40F-61B8444DB719}">
            <xm:f>(COUNTIF(Projektgrundlagen!$I$26:$I$27,TRUE)&lt;&gt;1)</xm:f>
            <x14:dxf>
              <font>
                <strike/>
                <color theme="0" tint="-0.14996795556505021"/>
              </font>
              <fill>
                <patternFill>
                  <bgColor theme="0"/>
                </patternFill>
              </fill>
            </x14:dxf>
          </x14:cfRule>
          <xm:sqref>C16:K46</xm:sqref>
        </x14:conditionalFormatting>
        <x14:conditionalFormatting xmlns:xm="http://schemas.microsoft.com/office/excel/2006/main">
          <x14:cfRule type="expression" priority="34" id="{FA6366C5-E2F4-4D1D-B129-700B98CB59FC}">
            <xm:f>(COUNTIF(Projektgrundlagen!$I$26:$I$27,TRUE)&lt;&gt;1)</xm:f>
            <x14:dxf>
              <font>
                <strike/>
                <color theme="0" tint="-0.14996795556505021"/>
              </font>
              <fill>
                <patternFill>
                  <bgColor theme="0"/>
                </patternFill>
              </fill>
            </x14:dxf>
          </x14:cfRule>
          <xm:sqref>C55:K76</xm:sqref>
        </x14:conditionalFormatting>
        <x14:conditionalFormatting xmlns:xm="http://schemas.microsoft.com/office/excel/2006/main">
          <x14:cfRule type="expression" priority="186" id="{1D5B4395-D722-46E5-B06D-6F1257BED72D}">
            <xm:f>(COUNTIF(Projektgrundlagen!$I$26:$I$27,TRUE)&lt;&gt;1)</xm:f>
            <x14:dxf>
              <font>
                <strike/>
                <color theme="0" tint="-0.14996795556505021"/>
              </font>
              <fill>
                <patternFill>
                  <bgColor theme="0"/>
                </patternFill>
              </fill>
            </x14:dxf>
          </x14:cfRule>
          <xm:sqref>C127:K130</xm:sqref>
        </x14:conditionalFormatting>
        <x14:conditionalFormatting xmlns:xm="http://schemas.microsoft.com/office/excel/2006/main">
          <x14:cfRule type="expression" priority="169" id="{F6707702-EBF7-43A8-A3DA-6F1CC460DE85}">
            <xm:f>(COUNTIF(Projektgrundlagen!$I$26:$I$27,TRUE)&lt;&gt;1)</xm:f>
            <x14:dxf>
              <font>
                <strike/>
                <color theme="0" tint="-0.14996795556505021"/>
              </font>
              <fill>
                <patternFill>
                  <bgColor theme="0"/>
                </patternFill>
              </fill>
            </x14:dxf>
          </x14:cfRule>
          <xm:sqref>C133:K133</xm:sqref>
        </x14:conditionalFormatting>
        <x14:conditionalFormatting xmlns:xm="http://schemas.microsoft.com/office/excel/2006/main">
          <x14:cfRule type="expression" priority="84" id="{B23877B0-FCE7-4FBB-B62A-E9124DBFAFAE}">
            <xm:f>(COUNTIF(Projektgrundlagen!$I$26:$I$27,TRUE)&lt;&gt;1)</xm:f>
            <x14:dxf>
              <font>
                <strike/>
                <color theme="0" tint="-0.14996795556505021"/>
              </font>
              <fill>
                <patternFill>
                  <bgColor theme="0"/>
                </patternFill>
              </fill>
            </x14:dxf>
          </x14:cfRule>
          <xm:sqref>C136:K157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V107"/>
  <sheetViews>
    <sheetView showGridLines="0" topLeftCell="A79" zoomScaleNormal="100" zoomScaleSheetLayoutView="100" zoomScalePageLayoutView="118" workbookViewId="0">
      <selection activeCell="J101" sqref="J101"/>
    </sheetView>
  </sheetViews>
  <sheetFormatPr baseColWidth="10" defaultColWidth="0" defaultRowHeight="16.5" zeroHeight="1"/>
  <cols>
    <col min="1" max="1" width="5.7265625" style="343" customWidth="1"/>
    <col min="2" max="2" width="4.453125" style="692" customWidth="1"/>
    <col min="3" max="5" width="3.26953125" style="1" customWidth="1"/>
    <col min="6" max="6" width="22.26953125" style="1" customWidth="1"/>
    <col min="7" max="7" width="10.7265625" style="1" customWidth="1"/>
    <col min="8" max="10" width="19" style="1" customWidth="1"/>
    <col min="11" max="11" width="2.7265625" style="1" customWidth="1"/>
    <col min="12" max="12" width="12.54296875" style="150" hidden="1" customWidth="1"/>
    <col min="13" max="13" width="14.7265625" style="126" hidden="1" customWidth="1"/>
    <col min="14" max="14" width="14.7265625" style="81" hidden="1" customWidth="1"/>
    <col min="15" max="15" width="16.54296875" style="81" hidden="1" customWidth="1"/>
    <col min="16" max="16" width="12.1796875" style="1" hidden="1" customWidth="1"/>
    <col min="17" max="17" width="12.453125" style="1" hidden="1" customWidth="1"/>
    <col min="18" max="24" width="11.26953125" style="1" hidden="1" customWidth="1"/>
    <col min="25" max="16384" width="11.26953125" style="1" hidden="1"/>
  </cols>
  <sheetData>
    <row r="1" spans="1:21"/>
    <row r="2" spans="1:21" ht="16.5" customHeight="1">
      <c r="B2" s="876" t="str">
        <f>IF(Projektgrundlagen!B2="","",Projektgrundlagen!B2)</f>
        <v>Landschaftspflegerischer Begleitplan</v>
      </c>
      <c r="C2" s="876"/>
      <c r="D2" s="876"/>
      <c r="E2" s="876"/>
      <c r="F2" s="876"/>
      <c r="G2" s="876"/>
      <c r="H2" s="877"/>
      <c r="I2" s="290" t="str">
        <f>IF(Projektgrundlagen!F2="","",Projektgrundlagen!F2)</f>
        <v>VII.05.4-LBP</v>
      </c>
      <c r="J2" s="238" t="s">
        <v>123</v>
      </c>
      <c r="K2" s="1012" t="s">
        <v>116</v>
      </c>
      <c r="L2" s="65" t="s">
        <v>39</v>
      </c>
      <c r="P2" s="147" t="s">
        <v>111</v>
      </c>
      <c r="U2" s="147"/>
    </row>
    <row r="3" spans="1:21" ht="16.5" customHeight="1">
      <c r="B3" s="1019" t="s">
        <v>116</v>
      </c>
      <c r="C3" s="1019"/>
      <c r="D3" s="1019"/>
      <c r="E3" s="1019"/>
      <c r="F3" s="1019"/>
      <c r="G3" s="1019"/>
      <c r="H3" s="1020"/>
      <c r="I3" s="301" t="str">
        <f>IF(Projektgrundlagen!F3="","",Projektgrundlagen!F3)</f>
        <v>Vertragsnr.:</v>
      </c>
      <c r="J3" s="311" t="str">
        <f>IF(Projektgrundlagen!G3="","",Projektgrundlagen!G3)</f>
        <v/>
      </c>
      <c r="K3" s="1013"/>
      <c r="P3" s="1" t="str">
        <f ca="1">MID(CELL("dateiname",A2),FIND("]",CELL("dateiname",A2))+1,255)</f>
        <v>E Honorarberechnung</v>
      </c>
    </row>
    <row r="4" spans="1:21" ht="7.5" customHeight="1">
      <c r="B4" s="693"/>
      <c r="C4" s="285"/>
      <c r="D4" s="285"/>
      <c r="E4" s="285"/>
      <c r="F4" s="285"/>
      <c r="G4" s="285"/>
      <c r="H4" s="284"/>
      <c r="I4" s="284"/>
      <c r="J4" s="284"/>
      <c r="K4" s="1013"/>
    </row>
    <row r="5" spans="1:21">
      <c r="B5" s="880" t="str">
        <f>IF(Projektgrundlagen!B5="","",Projektgrundlagen!B5)</f>
        <v>Maßnahmennr:</v>
      </c>
      <c r="C5" s="881"/>
      <c r="D5" s="881"/>
      <c r="E5" s="881"/>
      <c r="F5" s="927" t="str">
        <f>IF(Projektgrundlagen!E5="","",Projektgrundlagen!E5)</f>
        <v/>
      </c>
      <c r="G5" s="927"/>
      <c r="H5" s="927"/>
      <c r="I5" s="293" t="str">
        <f>IF(Projektgrundlagen!F5="","",Projektgrundlagen!F5)</f>
        <v>Vergabenr.:</v>
      </c>
      <c r="J5" s="312" t="str">
        <f>IF(Projektgrundlagen!G5="","",Projektgrundlagen!G5)</f>
        <v/>
      </c>
      <c r="K5" s="1013"/>
      <c r="P5" s="134"/>
    </row>
    <row r="6" spans="1:21">
      <c r="B6" s="882" t="str">
        <f>IF(Projektgrundlagen!B6="","",Projektgrundlagen!B6)</f>
        <v>Bauherr:</v>
      </c>
      <c r="C6" s="883"/>
      <c r="D6" s="883"/>
      <c r="E6" s="883"/>
      <c r="F6" s="906" t="str">
        <f>IF(Projektgrundlagen!E6="","",Projektgrundlagen!E6)</f>
        <v xml:space="preserve">Mittelfränkischen Eisenbahnbetriebs GmbH  </v>
      </c>
      <c r="G6" s="906"/>
      <c r="H6" s="906"/>
      <c r="I6" s="906"/>
      <c r="J6" s="907"/>
      <c r="K6" s="1013"/>
      <c r="P6" s="134"/>
    </row>
    <row r="7" spans="1:21">
      <c r="B7" s="884"/>
      <c r="C7" s="885"/>
      <c r="D7" s="885"/>
      <c r="E7" s="885"/>
      <c r="F7" s="1017" t="str">
        <f>IF(Projektgrundlagen!E7="","",Projektgrundlagen!E7)</f>
        <v>Reaktivierung der Bahnstrecke 5331 im Abschnitt Wilburgstetten - Dombühl für den SPNV</v>
      </c>
      <c r="G7" s="1017"/>
      <c r="H7" s="1017"/>
      <c r="I7" s="1017"/>
      <c r="J7" s="1018"/>
      <c r="K7" s="1013"/>
    </row>
    <row r="8" spans="1:21">
      <c r="B8" s="851" t="s">
        <v>83</v>
      </c>
      <c r="C8" s="852"/>
      <c r="D8" s="852"/>
      <c r="E8" s="852"/>
      <c r="F8" s="904" t="str">
        <f>IF(Projektgrundlagen!E8="","",Projektgrundlagen!E8)</f>
        <v/>
      </c>
      <c r="G8" s="904"/>
      <c r="H8" s="904"/>
      <c r="I8" s="904"/>
      <c r="J8" s="905"/>
      <c r="K8" s="1013"/>
      <c r="P8" s="134"/>
    </row>
    <row r="9" spans="1:21">
      <c r="B9" s="694"/>
      <c r="C9" s="266"/>
      <c r="D9" s="266"/>
      <c r="E9" s="266"/>
      <c r="F9" s="288"/>
      <c r="G9" s="288"/>
      <c r="H9" s="288"/>
      <c r="I9" s="288"/>
      <c r="J9" s="288"/>
    </row>
    <row r="10" spans="1:21" s="108" customFormat="1" ht="30" customHeight="1">
      <c r="A10" s="734"/>
      <c r="B10" s="1025" t="s">
        <v>116</v>
      </c>
      <c r="C10" s="1025"/>
      <c r="D10" s="1025"/>
      <c r="E10" s="1025"/>
      <c r="F10" s="1025"/>
      <c r="G10" s="1025"/>
      <c r="H10" s="1025"/>
      <c r="I10" s="373"/>
      <c r="J10" s="373"/>
      <c r="K10" s="109"/>
      <c r="L10" s="109"/>
      <c r="M10" s="761"/>
      <c r="N10" s="109"/>
    </row>
    <row r="11" spans="1:21" ht="15" customHeight="1">
      <c r="A11" s="734"/>
      <c r="B11" s="772" t="s">
        <v>1</v>
      </c>
      <c r="C11" s="376"/>
      <c r="D11" s="234"/>
      <c r="E11" s="234"/>
      <c r="F11" s="374"/>
      <c r="G11" s="375"/>
      <c r="H11" s="376"/>
      <c r="I11" s="378"/>
      <c r="J11" s="377" t="s">
        <v>59</v>
      </c>
      <c r="L11" s="81"/>
    </row>
    <row r="12" spans="1:21" ht="7.5" customHeight="1">
      <c r="A12" s="734"/>
      <c r="B12" s="695"/>
      <c r="C12" s="5"/>
      <c r="D12" s="5"/>
      <c r="E12" s="5"/>
      <c r="F12" s="5"/>
      <c r="G12" s="5"/>
      <c r="H12" s="5"/>
      <c r="I12" s="5"/>
      <c r="J12" s="5"/>
    </row>
    <row r="13" spans="1:21" s="20" customFormat="1" ht="16.5" customHeight="1">
      <c r="A13" s="735"/>
      <c r="B13" s="696"/>
      <c r="C13" s="544" t="s">
        <v>88</v>
      </c>
      <c r="D13" s="545"/>
      <c r="E13" s="545"/>
      <c r="F13" s="545"/>
      <c r="G13" s="545"/>
      <c r="H13" s="545"/>
      <c r="I13" s="546"/>
      <c r="J13" s="547"/>
      <c r="L13" s="749" t="s">
        <v>84</v>
      </c>
      <c r="M13" s="750" t="s">
        <v>82</v>
      </c>
    </row>
    <row r="14" spans="1:21" customFormat="1" ht="16.5" customHeight="1">
      <c r="A14" s="736"/>
      <c r="B14" s="697">
        <v>1</v>
      </c>
      <c r="C14" s="6" t="s">
        <v>637</v>
      </c>
      <c r="D14" s="250"/>
      <c r="E14" s="212"/>
      <c r="F14" s="212"/>
      <c r="G14" s="212"/>
      <c r="H14" s="341" t="s">
        <v>622</v>
      </c>
      <c r="I14" s="57">
        <f>IF('A Fläche'!G20="",0,'A Fläche'!G20)</f>
        <v>101.5</v>
      </c>
      <c r="J14" s="62"/>
      <c r="L14" s="81" t="b">
        <f>NOT(M14)</f>
        <v>1</v>
      </c>
      <c r="M14" s="762" t="b">
        <f>'A Fläche'!I20</f>
        <v>0</v>
      </c>
      <c r="N14" s="128"/>
      <c r="O14" s="128"/>
    </row>
    <row r="15" spans="1:21" ht="16.5" customHeight="1">
      <c r="A15" s="734"/>
      <c r="B15" s="698">
        <v>2</v>
      </c>
      <c r="C15" s="442" t="s">
        <v>153</v>
      </c>
      <c r="D15" s="661"/>
      <c r="E15" s="443"/>
      <c r="F15" s="443"/>
      <c r="G15" s="444"/>
      <c r="H15" s="445" t="s">
        <v>623</v>
      </c>
      <c r="I15" s="260">
        <f>'H §31 HOAI'!E7</f>
        <v>2</v>
      </c>
      <c r="J15" s="62"/>
      <c r="L15" s="81"/>
    </row>
    <row r="16" spans="1:21" ht="16.5" customHeight="1">
      <c r="A16" s="734"/>
      <c r="B16" s="698">
        <v>3</v>
      </c>
      <c r="C16" s="460" t="s">
        <v>215</v>
      </c>
      <c r="D16" s="441"/>
      <c r="F16" s="441"/>
      <c r="G16" s="441"/>
      <c r="H16" s="441"/>
      <c r="I16" s="315"/>
      <c r="J16" s="62"/>
      <c r="M16" s="750" t="s">
        <v>85</v>
      </c>
      <c r="N16" s="750" t="s">
        <v>86</v>
      </c>
      <c r="O16" s="750" t="s">
        <v>87</v>
      </c>
    </row>
    <row r="17" spans="1:17" ht="16.5" customHeight="1">
      <c r="A17" s="731" t="str">
        <f>IF(COUNTIF($L$17:$L$18,TRUE)&lt;&gt;1,"è","")</f>
        <v/>
      </c>
      <c r="B17" s="704" t="s">
        <v>43</v>
      </c>
      <c r="C17" s="219"/>
      <c r="D17" s="1014" t="s">
        <v>228</v>
      </c>
      <c r="E17" s="1015"/>
      <c r="F17" s="1015"/>
      <c r="G17" s="1015"/>
      <c r="H17" s="1015"/>
      <c r="I17" s="35"/>
      <c r="J17" s="62"/>
      <c r="L17" s="150" t="b">
        <v>1</v>
      </c>
      <c r="M17" s="761" t="b">
        <f>IF(COUNTIF(L17:L18,TRUE)=0,TRUE,FALSE)</f>
        <v>0</v>
      </c>
      <c r="N17" s="109" t="b">
        <f>IF(COUNTIF(L17:L18,TRUE)&gt;1,TRUE,FALSE)</f>
        <v>0</v>
      </c>
      <c r="O17" s="81" t="b">
        <f>AND(NOT(M17),NOT(N17),L14,OR(L17,L18))</f>
        <v>1</v>
      </c>
    </row>
    <row r="18" spans="1:17" ht="16.5" customHeight="1">
      <c r="A18" s="731" t="str">
        <f>IF(COUNTIF($L$17:$L$18,TRUE)&lt;&gt;1,"è","")</f>
        <v/>
      </c>
      <c r="B18" s="699" t="s">
        <v>214</v>
      </c>
      <c r="C18" s="219"/>
      <c r="D18" s="871" t="s">
        <v>267</v>
      </c>
      <c r="E18" s="872"/>
      <c r="F18" s="872"/>
      <c r="G18" s="872"/>
      <c r="H18" s="872"/>
      <c r="I18" s="536"/>
      <c r="J18" s="63"/>
      <c r="L18" s="150" t="b">
        <v>0</v>
      </c>
      <c r="M18" s="761"/>
      <c r="N18" s="109"/>
      <c r="O18" s="764" t="s">
        <v>217</v>
      </c>
      <c r="Q18" s="134"/>
    </row>
    <row r="19" spans="1:17" ht="17.25" customHeight="1">
      <c r="A19" s="734"/>
      <c r="B19" s="700"/>
      <c r="C19" s="152"/>
      <c r="D19" s="152"/>
      <c r="E19" s="152"/>
      <c r="F19" s="153"/>
      <c r="G19" s="154"/>
      <c r="H19" s="154"/>
      <c r="I19" s="154"/>
      <c r="J19" s="68"/>
      <c r="L19" s="765"/>
      <c r="O19" s="81" t="b">
        <f>AND(NOT(M17),NOT(N17),M14,OR(L17,L18))</f>
        <v>0</v>
      </c>
    </row>
    <row r="20" spans="1:17" s="20" customFormat="1">
      <c r="A20" s="735"/>
      <c r="B20" s="696"/>
      <c r="C20" s="544" t="s">
        <v>166</v>
      </c>
      <c r="D20" s="545"/>
      <c r="E20" s="545"/>
      <c r="F20" s="545"/>
      <c r="G20" s="545"/>
      <c r="H20" s="545"/>
      <c r="I20" s="546"/>
      <c r="J20" s="547"/>
      <c r="L20" s="766"/>
      <c r="M20" s="126"/>
      <c r="N20" s="126"/>
      <c r="O20" s="126"/>
    </row>
    <row r="21" spans="1:17" ht="16.5" customHeight="1">
      <c r="A21" s="734"/>
      <c r="B21" s="701">
        <v>4</v>
      </c>
      <c r="C21" s="6" t="s">
        <v>633</v>
      </c>
      <c r="D21" s="466"/>
      <c r="E21" s="212"/>
      <c r="F21" s="212"/>
      <c r="G21" s="212"/>
      <c r="H21" s="648" t="str">
        <f>IF(O17,'H §31 HOAI'!E4,"")</f>
        <v>nach § 31 HOAI</v>
      </c>
      <c r="I21" s="452"/>
      <c r="J21" s="523"/>
    </row>
    <row r="22" spans="1:17" ht="16.5" customHeight="1">
      <c r="A22" s="734"/>
      <c r="B22" s="702" t="s">
        <v>2</v>
      </c>
      <c r="C22" s="652"/>
      <c r="D22" s="350" t="str">
        <f>IF(OR(L27,L32),"Basishonorarsatz der Honorartafel vor Abweichung","Basishonorarsatz der Honorartafel ")</f>
        <v xml:space="preserve">Basishonorarsatz der Honorartafel </v>
      </c>
      <c r="E22" s="234"/>
      <c r="F22" s="350"/>
      <c r="G22" s="350"/>
      <c r="H22" s="638"/>
      <c r="I22" s="521">
        <f>IF(L14,'H §31 HOAI'!F10,0)</f>
        <v>34173.805</v>
      </c>
      <c r="J22" s="57">
        <f>IF(AND(L14,O17),I22,0)</f>
        <v>34173.805</v>
      </c>
    </row>
    <row r="23" spans="1:17" ht="16.5" customHeight="1">
      <c r="A23" s="731" t="str">
        <f>IF(AND(M14,O19,I23=""),"è","")</f>
        <v/>
      </c>
      <c r="B23" s="703" t="s">
        <v>3</v>
      </c>
      <c r="C23" s="199"/>
      <c r="D23" s="441" t="str">
        <f>IF(OR(L27,L32),"Honorarsatz außerhalb der Honorartafel vor Abweichung","Honorarsatz außerhalb der Honorartafel ")</f>
        <v xml:space="preserve">Honorarsatz außerhalb der Honorartafel </v>
      </c>
      <c r="F23" s="441"/>
      <c r="G23" s="441"/>
      <c r="H23" s="647"/>
      <c r="I23" s="679"/>
      <c r="J23" s="57">
        <f>IF(AND(M14,O19),I23,0)</f>
        <v>0</v>
      </c>
      <c r="M23" s="750"/>
      <c r="N23" s="750"/>
      <c r="O23" s="750"/>
    </row>
    <row r="24" spans="1:17" ht="16.5" customHeight="1">
      <c r="A24" s="731" t="str">
        <f>IF(AND(M14,L27,I24=""),"è","")</f>
        <v/>
      </c>
      <c r="B24" s="703" t="s">
        <v>4</v>
      </c>
      <c r="C24" s="199"/>
      <c r="D24" s="1" t="str">
        <f>IF(O19,IF(OR(L27,L32),"Oberer Honorarsatz außerhalb der Honorartafel [Vorgabe für 4.4]","Oberer Honorarsatz außerhalb der Honorartafel [Vorgabe für 4.4]"),"")</f>
        <v/>
      </c>
      <c r="F24" s="441"/>
      <c r="G24" s="441"/>
      <c r="H24" s="441"/>
      <c r="I24" s="679"/>
      <c r="J24" s="526"/>
      <c r="M24" s="750"/>
      <c r="N24" s="750"/>
      <c r="O24" s="750"/>
    </row>
    <row r="25" spans="1:17" ht="16.5" customHeight="1">
      <c r="A25" s="734"/>
      <c r="B25" s="703"/>
      <c r="C25" s="342"/>
      <c r="D25" s="35"/>
      <c r="E25" s="1016" t="str">
        <f>IF(O19,"Die Honorarsätze ergeben sich auf Grundlage der Anlage:","")</f>
        <v/>
      </c>
      <c r="F25" s="1016"/>
      <c r="G25" s="1016"/>
      <c r="H25" s="1016"/>
      <c r="I25" s="1016"/>
      <c r="J25" s="524"/>
      <c r="O25" s="150"/>
      <c r="Q25" s="134"/>
    </row>
    <row r="26" spans="1:17" ht="16.5" customHeight="1">
      <c r="A26" s="734"/>
      <c r="B26" s="703"/>
      <c r="C26" s="35"/>
      <c r="D26" s="9"/>
      <c r="E26" s="1023" t="s">
        <v>653</v>
      </c>
      <c r="F26" s="1023"/>
      <c r="G26" s="1023"/>
      <c r="H26" s="1023"/>
      <c r="I26" s="1024"/>
      <c r="J26" s="524"/>
      <c r="Q26" s="134"/>
    </row>
    <row r="27" spans="1:17" ht="16.5" customHeight="1">
      <c r="A27" s="734"/>
      <c r="B27" s="704" t="s">
        <v>5</v>
      </c>
      <c r="C27" s="253"/>
      <c r="D27" s="447" t="str">
        <f>IF(OR(L27,L32),"Abweichung vom Basishonorarsatz der Honorartafel (Überschreitung)","Abweichung vom Honorarsatz außerhalb der Honorartafel (Überschreitung)")</f>
        <v>Abweichung vom Honorarsatz außerhalb der Honorartafel (Überschreitung)</v>
      </c>
      <c r="E27" s="446"/>
      <c r="F27" s="446"/>
      <c r="G27" s="446"/>
      <c r="H27" s="446"/>
      <c r="I27" s="446"/>
      <c r="J27" s="525"/>
      <c r="L27" s="150" t="b">
        <v>0</v>
      </c>
      <c r="P27" s="122"/>
    </row>
    <row r="28" spans="1:17" ht="16.5" customHeight="1">
      <c r="A28" s="731" t="str">
        <f>IF(AND(L27,I28=""),"è","")</f>
        <v/>
      </c>
      <c r="B28" s="705" t="s">
        <v>6</v>
      </c>
      <c r="C28" s="4"/>
      <c r="D28" s="1" t="s">
        <v>232</v>
      </c>
      <c r="H28" s="259" t="s">
        <v>152</v>
      </c>
      <c r="I28" s="623"/>
      <c r="J28" s="502"/>
    </row>
    <row r="29" spans="1:17" ht="16.5" customHeight="1">
      <c r="A29" s="734"/>
      <c r="B29" s="705" t="s">
        <v>7</v>
      </c>
      <c r="C29" s="4"/>
      <c r="D29" s="1" t="s">
        <v>264</v>
      </c>
      <c r="I29" s="521">
        <f>IF(AND(O17,L27,I28&gt;0),'H §31 HOAI'!F11-'H §31 HOAI'!F10,IF(AND(O19,L27,I28&gt;0,I24&gt;I23),(I24-I23),0))</f>
        <v>0</v>
      </c>
      <c r="J29" s="57">
        <f>IF(AND(L27,NOT(L32)),I29*I28/100,0)</f>
        <v>0</v>
      </c>
    </row>
    <row r="30" spans="1:17" ht="16.5" customHeight="1">
      <c r="A30" s="734"/>
      <c r="B30" s="703"/>
      <c r="C30" s="4"/>
      <c r="D30" s="479"/>
      <c r="E30" s="1" t="s">
        <v>234</v>
      </c>
      <c r="H30" s="479"/>
      <c r="I30" s="479"/>
      <c r="J30" s="526"/>
    </row>
    <row r="31" spans="1:17" ht="16.5" customHeight="1">
      <c r="A31" s="734"/>
      <c r="B31" s="703"/>
      <c r="C31" s="3"/>
      <c r="D31" s="449"/>
      <c r="E31" s="1021"/>
      <c r="F31" s="1021"/>
      <c r="G31" s="1021"/>
      <c r="H31" s="1021"/>
      <c r="I31" s="1021"/>
      <c r="J31" s="32"/>
    </row>
    <row r="32" spans="1:17" ht="16.5" customHeight="1">
      <c r="A32" s="734"/>
      <c r="B32" s="704" t="s">
        <v>8</v>
      </c>
      <c r="C32" s="254"/>
      <c r="D32" s="447" t="str">
        <f>IF(OR(L27,L32),"Abweichung vom Basishonorarsatz (Unterschreitung)","Abweichung vom Honorarsatz außerhalb der Honorartafel (Unterschreitung)")</f>
        <v>Abweichung vom Honorarsatz außerhalb der Honorartafel (Unterschreitung)</v>
      </c>
      <c r="E32" s="535"/>
      <c r="F32" s="448"/>
      <c r="G32" s="448"/>
      <c r="H32" s="448"/>
      <c r="I32" s="451"/>
      <c r="J32" s="246"/>
      <c r="L32" s="150" t="b">
        <v>0</v>
      </c>
      <c r="P32" s="122"/>
    </row>
    <row r="33" spans="1:17" ht="16.5" customHeight="1">
      <c r="A33" s="731" t="str">
        <f>IF(AND(L32,I33=""),"è","")</f>
        <v/>
      </c>
      <c r="B33" s="705" t="s">
        <v>32</v>
      </c>
      <c r="C33" s="4"/>
      <c r="D33" s="1" t="s">
        <v>233</v>
      </c>
      <c r="F33" s="195"/>
      <c r="H33" s="259" t="s">
        <v>152</v>
      </c>
      <c r="I33" s="522"/>
      <c r="J33" s="57">
        <f>IF(AND(NOT(L27),L32),(J22+J23)*I33/100,0)</f>
        <v>0</v>
      </c>
      <c r="L33" s="81"/>
    </row>
    <row r="34" spans="1:17" ht="16.5" customHeight="1">
      <c r="A34" s="734"/>
      <c r="B34" s="703"/>
      <c r="C34" s="4"/>
      <c r="E34" s="1" t="s">
        <v>234</v>
      </c>
      <c r="J34" s="527"/>
    </row>
    <row r="35" spans="1:17" ht="16.5" customHeight="1">
      <c r="A35" s="734"/>
      <c r="B35" s="703"/>
      <c r="C35" s="4"/>
      <c r="D35" s="449"/>
      <c r="E35" s="1022" t="s">
        <v>235</v>
      </c>
      <c r="F35" s="1022"/>
      <c r="G35" s="1022"/>
      <c r="H35" s="1022"/>
      <c r="I35" s="1022"/>
      <c r="J35" s="499"/>
      <c r="P35" s="122" t="s">
        <v>312</v>
      </c>
    </row>
    <row r="36" spans="1:17" ht="16.5" customHeight="1">
      <c r="A36" s="734"/>
      <c r="B36" s="704" t="s">
        <v>308</v>
      </c>
      <c r="C36" s="457"/>
      <c r="D36" s="476" t="s">
        <v>216</v>
      </c>
      <c r="E36" s="458"/>
      <c r="F36" s="456"/>
      <c r="G36" s="456"/>
      <c r="H36" s="456"/>
      <c r="I36" s="459"/>
      <c r="J36" s="450">
        <f>IF(O17,-J33+J29+J22,IF(O19,-J33+J29+J23,0))</f>
        <v>34173.805</v>
      </c>
      <c r="P36" s="779">
        <f>IF(J36&gt;0,J36,IF(I23&lt;&gt;"",I23,I22))</f>
        <v>34173.805</v>
      </c>
    </row>
    <row r="37" spans="1:17" ht="7.5" customHeight="1">
      <c r="A37" s="734"/>
      <c r="B37" s="706"/>
      <c r="C37" s="69"/>
      <c r="D37" s="69"/>
      <c r="E37" s="69"/>
      <c r="F37" s="69"/>
      <c r="G37" s="69"/>
      <c r="H37" s="68"/>
      <c r="I37" s="80"/>
      <c r="J37" s="252"/>
    </row>
    <row r="38" spans="1:17" ht="16.5" customHeight="1">
      <c r="A38" s="734"/>
      <c r="B38" s="707" t="s">
        <v>45</v>
      </c>
      <c r="C38" s="6" t="s">
        <v>154</v>
      </c>
      <c r="D38" s="751"/>
      <c r="E38" s="752"/>
      <c r="F38" s="250"/>
      <c r="G38" s="197"/>
      <c r="H38" s="197"/>
      <c r="I38" s="197"/>
      <c r="J38" s="527"/>
      <c r="M38" s="750" t="s">
        <v>85</v>
      </c>
      <c r="N38" s="749" t="s">
        <v>86</v>
      </c>
      <c r="O38" s="749" t="s">
        <v>89</v>
      </c>
    </row>
    <row r="39" spans="1:17" ht="30" customHeight="1">
      <c r="A39" s="734"/>
      <c r="B39" s="708"/>
      <c r="C39" s="4"/>
      <c r="D39" s="691"/>
      <c r="E39" s="993" t="s">
        <v>93</v>
      </c>
      <c r="F39" s="993"/>
      <c r="G39" s="993"/>
      <c r="H39" s="993"/>
      <c r="I39" s="994"/>
      <c r="J39" s="528"/>
      <c r="L39" s="81"/>
      <c r="M39" s="761" t="b">
        <f>IF(COUNTIF(L40:L41,TRUE)=0,TRUE,FALSE)</f>
        <v>1</v>
      </c>
      <c r="N39" s="109" t="b">
        <f>IF(COUNTIF(O40:O41,TRUE)&gt;1,TRUE,FALSE)</f>
        <v>0</v>
      </c>
      <c r="O39" s="81" t="b">
        <f>AND(NOT(M39),NOT(N39))</f>
        <v>0</v>
      </c>
    </row>
    <row r="40" spans="1:17" ht="16.5" customHeight="1">
      <c r="A40" s="734"/>
      <c r="B40" s="702" t="s">
        <v>9</v>
      </c>
      <c r="C40" s="240"/>
      <c r="D40" s="998" t="s">
        <v>97</v>
      </c>
      <c r="E40" s="998"/>
      <c r="F40" s="998"/>
      <c r="G40" s="998"/>
      <c r="H40" s="650" t="s">
        <v>152</v>
      </c>
      <c r="I40" s="261"/>
      <c r="J40" s="32"/>
      <c r="L40" s="81" t="b">
        <f>IF(COUNT(I40)=1,TRUE,FALSE)</f>
        <v>0</v>
      </c>
      <c r="O40" s="81" t="b">
        <f>AND(L40,I40&gt;0,I40&lt;=100)</f>
        <v>0</v>
      </c>
    </row>
    <row r="41" spans="1:17" ht="16.5" customHeight="1">
      <c r="A41" s="734"/>
      <c r="B41" s="703" t="s">
        <v>33</v>
      </c>
      <c r="C41" s="4"/>
      <c r="D41" s="999" t="s">
        <v>99</v>
      </c>
      <c r="E41" s="999"/>
      <c r="F41" s="999"/>
      <c r="G41" s="999"/>
      <c r="H41" s="259" t="s">
        <v>152</v>
      </c>
      <c r="I41" s="261"/>
      <c r="J41" s="32"/>
      <c r="L41" s="81" t="b">
        <f>IF(COUNT(I41)=1,TRUE,FALSE)</f>
        <v>0</v>
      </c>
      <c r="O41" s="81" t="b">
        <f>AND(L41,I41&gt;0%)</f>
        <v>0</v>
      </c>
    </row>
    <row r="42" spans="1:17" ht="16.5" customHeight="1">
      <c r="A42" s="734"/>
      <c r="B42" s="709" t="s">
        <v>56</v>
      </c>
      <c r="C42" s="460"/>
      <c r="D42" s="658" t="str">
        <f>IF(AND(O39,O40),"Es ergibt sich eine Honorarminderung in Höhe von",IF(AND(O39,O41),"Es ergibt sich eine Honorarerhöhung in Höhe von",""))</f>
        <v/>
      </c>
      <c r="E42" s="351"/>
      <c r="F42" s="351"/>
      <c r="G42" s="351"/>
      <c r="H42" s="351"/>
      <c r="I42" s="461"/>
      <c r="J42" s="58">
        <f>IF(J36&gt;0,(IF(AND(O39,O40),I40,IF(AND(O39,I41),I41,0))/100)*J36,0)</f>
        <v>0</v>
      </c>
    </row>
    <row r="43" spans="1:17" ht="16.5" customHeight="1">
      <c r="A43" s="734"/>
      <c r="B43" s="705" t="s">
        <v>57</v>
      </c>
      <c r="C43" s="455"/>
      <c r="D43" s="662" t="str">
        <f>IF(AND(O39,O40),"Basishonorar der Leistungsphasen 1 bis 4 nach Minderung",IF(AND(O39,O41),"Basishonorar der Leistungsphasen 1 bis 4 nach Erhöhung","Basishonorar der Leistungsphasen 1 bis 9"))</f>
        <v>Basishonorar der Leistungsphasen 1 bis 9</v>
      </c>
      <c r="E43" s="462"/>
      <c r="F43" s="462"/>
      <c r="G43" s="462"/>
      <c r="H43" s="462"/>
      <c r="I43" s="463"/>
      <c r="J43" s="450">
        <f>IF(AND(O39,O40),J36-J42,IF(AND(O39,O41),J36+J42,J36))</f>
        <v>34173.805</v>
      </c>
    </row>
    <row r="44" spans="1:17" ht="7.5" customHeight="1">
      <c r="A44" s="734"/>
      <c r="B44" s="710"/>
      <c r="C44" s="250"/>
      <c r="D44" s="250"/>
      <c r="E44" s="250"/>
      <c r="F44" s="250"/>
      <c r="G44" s="250"/>
      <c r="H44" s="7"/>
      <c r="I44" s="115"/>
      <c r="J44" s="270"/>
    </row>
    <row r="45" spans="1:17" ht="16.5" customHeight="1">
      <c r="A45" s="734"/>
      <c r="B45" s="697">
        <v>6</v>
      </c>
      <c r="C45" s="689" t="s">
        <v>47</v>
      </c>
      <c r="D45" s="466"/>
      <c r="E45" s="466"/>
      <c r="F45" s="467"/>
      <c r="G45" s="468"/>
      <c r="H45" s="469" t="str">
        <f>IF(Projektgrundlagen!I26,"siehe Teil StB-C1",IF(Projektgrundlagen!I27,"siehe Teil StB-C2",""))</f>
        <v>siehe Teil StB-C2</v>
      </c>
      <c r="I45" s="454"/>
      <c r="J45" s="529"/>
      <c r="Q45" s="134"/>
    </row>
    <row r="46" spans="1:17" ht="16.5" customHeight="1">
      <c r="A46" s="734"/>
      <c r="B46" s="704" t="s">
        <v>243</v>
      </c>
      <c r="C46" s="256"/>
      <c r="D46" s="1" t="s">
        <v>178</v>
      </c>
      <c r="F46" s="257"/>
      <c r="G46" s="257"/>
      <c r="H46" s="76" t="s">
        <v>152</v>
      </c>
      <c r="I46" s="258">
        <f>'StB-C1 Grundlstg mSt'!J176+'StB-C2 Grundlstg oSt'!J142</f>
        <v>89</v>
      </c>
      <c r="J46" s="63"/>
      <c r="Q46" s="134"/>
    </row>
    <row r="47" spans="1:17" ht="16.5" customHeight="1">
      <c r="A47" s="734"/>
      <c r="B47" s="699" t="s">
        <v>272</v>
      </c>
      <c r="C47" s="455"/>
      <c r="D47" s="476" t="s">
        <v>179</v>
      </c>
      <c r="E47" s="456"/>
      <c r="F47" s="456"/>
      <c r="G47" s="456"/>
      <c r="H47" s="456"/>
      <c r="I47" s="464"/>
      <c r="J47" s="450">
        <f>IF(AND(O39,OR(O40,O41)),J43*I46%,J36*I46%)</f>
        <v>30414.686450000001</v>
      </c>
    </row>
    <row r="48" spans="1:17" ht="16.5" customHeight="1">
      <c r="A48" s="731"/>
      <c r="B48" s="825" t="s">
        <v>624</v>
      </c>
      <c r="C48" s="656"/>
      <c r="D48" s="656"/>
      <c r="E48" s="656"/>
      <c r="F48" s="656"/>
      <c r="G48" s="656"/>
      <c r="H48" s="823"/>
      <c r="I48" s="824"/>
      <c r="J48" s="826"/>
      <c r="M48" s="750"/>
      <c r="N48" s="750"/>
      <c r="O48" s="750"/>
      <c r="P48" s="122"/>
    </row>
    <row r="49" spans="1:17" ht="7.5" customHeight="1">
      <c r="A49" s="734"/>
      <c r="B49" s="712"/>
      <c r="C49" s="35"/>
      <c r="D49" s="251"/>
      <c r="E49" s="251"/>
      <c r="F49" s="251"/>
      <c r="G49" s="251"/>
      <c r="H49" s="251"/>
      <c r="I49" s="251"/>
      <c r="J49" s="251"/>
      <c r="L49" s="81"/>
      <c r="N49" s="127"/>
      <c r="O49" s="127"/>
    </row>
    <row r="50" spans="1:17" ht="16.5" customHeight="1">
      <c r="A50" s="734"/>
      <c r="B50" s="697">
        <v>9</v>
      </c>
      <c r="C50" s="6" t="s">
        <v>177</v>
      </c>
      <c r="D50" s="250"/>
      <c r="E50" s="250"/>
      <c r="F50" s="250"/>
      <c r="G50" s="255"/>
      <c r="H50" s="341" t="s">
        <v>625</v>
      </c>
      <c r="I50" s="250"/>
      <c r="J50" s="531"/>
    </row>
    <row r="51" spans="1:17" ht="16.5" customHeight="1">
      <c r="A51" s="734"/>
      <c r="B51" s="709" t="s">
        <v>184</v>
      </c>
      <c r="C51" s="453"/>
      <c r="D51" s="658" t="s">
        <v>176</v>
      </c>
      <c r="E51" s="658"/>
      <c r="F51" s="687"/>
      <c r="G51" s="687"/>
      <c r="H51" s="687"/>
      <c r="I51" s="688"/>
      <c r="J51" s="58">
        <f>IF('StB-D1 Besondere Lstg'!K166="",0,'StB-D1 Besondere Lstg'!K166)</f>
        <v>0</v>
      </c>
    </row>
    <row r="52" spans="1:17" ht="16.5" customHeight="1">
      <c r="A52" s="734"/>
      <c r="B52" s="714" t="s">
        <v>185</v>
      </c>
      <c r="C52" s="455"/>
      <c r="D52" s="476" t="s">
        <v>193</v>
      </c>
      <c r="E52" s="456"/>
      <c r="F52" s="456"/>
      <c r="G52" s="456"/>
      <c r="H52" s="456"/>
      <c r="I52" s="465"/>
      <c r="J52" s="450">
        <f>IFERROR(J51+J47,0)</f>
        <v>30414.686450000001</v>
      </c>
    </row>
    <row r="53" spans="1:17" ht="7.5" customHeight="1">
      <c r="A53" s="734"/>
      <c r="B53" s="712"/>
      <c r="C53" s="35"/>
      <c r="D53" s="251"/>
      <c r="E53" s="251"/>
      <c r="F53" s="251"/>
      <c r="G53" s="251"/>
      <c r="H53" s="251"/>
      <c r="I53" s="251"/>
      <c r="J53" s="251"/>
    </row>
    <row r="54" spans="1:17" ht="16.5" customHeight="1">
      <c r="A54" s="734"/>
      <c r="B54" s="711">
        <v>10</v>
      </c>
      <c r="C54" s="682" t="s">
        <v>41</v>
      </c>
      <c r="D54" s="71"/>
      <c r="E54" s="71"/>
      <c r="F54" s="124"/>
      <c r="G54" s="125"/>
      <c r="H54" s="124"/>
      <c r="I54" s="124"/>
      <c r="J54" s="530"/>
      <c r="M54" s="750" t="s">
        <v>85</v>
      </c>
      <c r="N54" s="750" t="s">
        <v>86</v>
      </c>
      <c r="O54" s="750" t="s">
        <v>89</v>
      </c>
    </row>
    <row r="55" spans="1:17" ht="16.5" customHeight="1">
      <c r="A55" s="731" t="str">
        <f>IF(COUNTIF($L$55:$L$57,TRUE)&lt;&gt;1,"è","")</f>
        <v/>
      </c>
      <c r="B55" s="702" t="s">
        <v>186</v>
      </c>
      <c r="C55" s="262"/>
      <c r="D55" s="683" t="s">
        <v>276</v>
      </c>
      <c r="E55" s="664"/>
      <c r="F55" s="684"/>
      <c r="G55" s="685"/>
      <c r="H55" s="684"/>
      <c r="I55" s="686"/>
      <c r="J55" s="532"/>
      <c r="L55" s="150" t="b">
        <v>1</v>
      </c>
      <c r="M55" s="761" t="b">
        <f>IF(COUNTIF(L55:L57,TRUE)=0,TRUE,FALSE)</f>
        <v>0</v>
      </c>
      <c r="N55" s="109" t="b">
        <f>IF(COUNTIF(L55:L57,TRUE)&gt;1,TRUE,FALSE)</f>
        <v>0</v>
      </c>
      <c r="O55" s="81" t="b">
        <f>AND(NOT(M55),NOT(N55),J52&lt;&gt;"")</f>
        <v>1</v>
      </c>
    </row>
    <row r="56" spans="1:17" ht="16.5" customHeight="1">
      <c r="A56" s="731" t="str">
        <f>IF(COUNTIF($L$55:$L$57,TRUE)&lt;&gt;1,"è","")</f>
        <v/>
      </c>
      <c r="B56" s="703" t="s">
        <v>187</v>
      </c>
      <c r="C56" s="271"/>
      <c r="D56" s="220" t="s">
        <v>94</v>
      </c>
      <c r="E56" s="221"/>
      <c r="F56" s="470"/>
      <c r="G56" s="470"/>
      <c r="H56" s="471"/>
      <c r="I56" s="74"/>
      <c r="J56" s="57">
        <f>IF(AND(L56,O56,$O$55),I56*$J$52,0)</f>
        <v>0</v>
      </c>
      <c r="K56" s="90"/>
      <c r="L56" s="150" t="b">
        <v>0</v>
      </c>
      <c r="O56" s="81" t="b">
        <f>AND(I56&gt;=0%,I56&lt;=100%,I56&lt;&gt;"")</f>
        <v>0</v>
      </c>
      <c r="Q56" s="134"/>
    </row>
    <row r="57" spans="1:17" ht="16.5" customHeight="1">
      <c r="A57" s="731" t="str">
        <f>IF(COUNTIF($L$55:$L$57,TRUE)&lt;&gt;1,"è","")</f>
        <v/>
      </c>
      <c r="B57" s="702" t="s">
        <v>224</v>
      </c>
      <c r="C57" s="271"/>
      <c r="D57" s="220" t="s">
        <v>95</v>
      </c>
      <c r="E57" s="221"/>
      <c r="F57" s="470"/>
      <c r="G57" s="470"/>
      <c r="H57" s="471"/>
      <c r="I57" s="123"/>
      <c r="J57" s="57">
        <f>IF(AND(L57,O57,$O$55),I57,0)</f>
        <v>0</v>
      </c>
      <c r="L57" s="765" t="b">
        <v>0</v>
      </c>
      <c r="O57" s="767" t="b">
        <f>AND(I57&gt;=0,I57&lt;&gt;"")</f>
        <v>0</v>
      </c>
    </row>
    <row r="58" spans="1:17" ht="16.5" customHeight="1">
      <c r="A58" s="734"/>
      <c r="B58" s="698">
        <v>11</v>
      </c>
      <c r="C58" s="211"/>
      <c r="D58" s="196" t="s">
        <v>96</v>
      </c>
      <c r="E58" s="196"/>
      <c r="F58" s="59"/>
      <c r="G58" s="59"/>
      <c r="H58" s="60"/>
      <c r="I58" s="228"/>
      <c r="J58" s="67"/>
      <c r="L58" s="765" t="b">
        <v>0</v>
      </c>
    </row>
    <row r="59" spans="1:17" ht="16.5" customHeight="1">
      <c r="A59" s="734"/>
      <c r="B59" s="703" t="s">
        <v>273</v>
      </c>
      <c r="C59" s="11"/>
      <c r="D59" s="254"/>
      <c r="E59" s="587" t="s">
        <v>266</v>
      </c>
      <c r="F59" s="587"/>
      <c r="G59" s="587"/>
      <c r="H59" s="753"/>
      <c r="I59" s="659"/>
      <c r="J59" s="88"/>
      <c r="L59" s="765" t="b">
        <v>0</v>
      </c>
      <c r="N59" s="278"/>
    </row>
    <row r="60" spans="1:17" ht="16.5" customHeight="1">
      <c r="A60" s="734"/>
      <c r="B60" s="703"/>
      <c r="C60" s="11"/>
      <c r="D60" s="196" t="s">
        <v>265</v>
      </c>
      <c r="E60" s="196"/>
      <c r="F60" s="59"/>
      <c r="G60" s="59"/>
      <c r="H60" s="60"/>
      <c r="I60" s="61"/>
      <c r="J60" s="88"/>
      <c r="L60" s="765"/>
    </row>
    <row r="61" spans="1:17" ht="16.5" customHeight="1">
      <c r="A61" s="734"/>
      <c r="B61" s="705" t="s">
        <v>274</v>
      </c>
      <c r="C61" s="11"/>
      <c r="D61" s="254"/>
      <c r="E61" s="882" t="s">
        <v>63</v>
      </c>
      <c r="F61" s="883"/>
      <c r="G61" s="883"/>
      <c r="H61" s="883"/>
      <c r="I61" s="587"/>
      <c r="J61" s="88"/>
      <c r="L61" s="765" t="b">
        <v>0</v>
      </c>
      <c r="N61" s="278"/>
    </row>
    <row r="62" spans="1:17" ht="16.5" customHeight="1">
      <c r="A62" s="734"/>
      <c r="B62" s="705" t="s">
        <v>275</v>
      </c>
      <c r="C62" s="3"/>
      <c r="D62" s="254"/>
      <c r="E62" s="995" t="s">
        <v>81</v>
      </c>
      <c r="F62" s="996"/>
      <c r="G62" s="996"/>
      <c r="H62" s="996"/>
      <c r="I62" s="997"/>
      <c r="J62" s="87"/>
      <c r="L62" s="765" t="b">
        <v>0</v>
      </c>
    </row>
    <row r="63" spans="1:17" ht="7.5" customHeight="1">
      <c r="A63" s="734"/>
      <c r="B63" s="700"/>
      <c r="C63" s="152"/>
      <c r="D63" s="152"/>
      <c r="E63" s="152"/>
      <c r="F63" s="153"/>
      <c r="G63" s="154"/>
      <c r="H63" s="154"/>
      <c r="I63" s="154"/>
      <c r="J63" s="68"/>
      <c r="L63" s="765"/>
    </row>
    <row r="64" spans="1:17" s="20" customFormat="1">
      <c r="A64" s="735"/>
      <c r="B64" s="696"/>
      <c r="C64" s="544" t="s">
        <v>180</v>
      </c>
      <c r="D64" s="545"/>
      <c r="E64" s="545"/>
      <c r="F64" s="545"/>
      <c r="G64" s="545"/>
      <c r="H64" s="545"/>
      <c r="I64" s="546"/>
      <c r="J64" s="548"/>
      <c r="L64" s="766"/>
      <c r="M64" s="126"/>
      <c r="N64" s="632"/>
      <c r="O64" s="126"/>
    </row>
    <row r="65" spans="1:22" ht="16.5" customHeight="1">
      <c r="A65" s="734"/>
      <c r="B65" s="715">
        <v>12</v>
      </c>
      <c r="C65" s="203"/>
      <c r="D65" s="656" t="str">
        <f>"Honorar "&amp;B2&amp;" netto"</f>
        <v>Honorar Landschaftspflegerischer Begleitplan netto</v>
      </c>
      <c r="E65" s="656"/>
      <c r="F65" s="656"/>
      <c r="G65" s="656"/>
      <c r="H65" s="656"/>
      <c r="I65" s="657"/>
      <c r="J65" s="58">
        <f>IF(AND(OR(J47&gt;0,J52&gt;0),O55),SUM(J56:J57)+J52,0)</f>
        <v>30414.686450000001</v>
      </c>
      <c r="M65" s="763"/>
    </row>
    <row r="66" spans="1:22" ht="16.5" customHeight="1">
      <c r="A66" s="734"/>
      <c r="B66" s="716">
        <v>13</v>
      </c>
      <c r="C66" s="201"/>
      <c r="D66" s="202" t="s">
        <v>98</v>
      </c>
      <c r="E66" s="202"/>
      <c r="F66" s="202"/>
      <c r="G66" s="202"/>
      <c r="H66" s="202"/>
      <c r="I66" s="70">
        <v>0.19</v>
      </c>
      <c r="J66" s="272">
        <f>J65*I66</f>
        <v>5778.7904255000003</v>
      </c>
      <c r="L66" s="768"/>
      <c r="M66" s="750"/>
    </row>
    <row r="67" spans="1:22" ht="17" thickBot="1">
      <c r="A67" s="734"/>
      <c r="B67" s="717"/>
      <c r="C67" s="440"/>
      <c r="D67" s="7"/>
      <c r="E67" s="7"/>
      <c r="F67" s="7"/>
      <c r="G67" s="7"/>
      <c r="H67" s="7"/>
      <c r="I67" s="7"/>
      <c r="J67" s="438"/>
    </row>
    <row r="68" spans="1:22" ht="30" customHeight="1" thickBot="1">
      <c r="A68" s="734"/>
      <c r="B68" s="718">
        <v>14</v>
      </c>
      <c r="C68" s="655" t="str">
        <f>IF(I66&gt;0,"Honorar "&amp;B2&amp;" brutto","Honorar für "&amp;B2&amp;" netto")</f>
        <v>Honorar Landschaftspflegerischer Begleitplan brutto</v>
      </c>
      <c r="D68" s="439"/>
      <c r="E68" s="439"/>
      <c r="F68" s="439"/>
      <c r="G68" s="439"/>
      <c r="H68" s="439"/>
      <c r="I68" s="631" t="str">
        <f>IF(AND(L17,NOT(L18)),"[vorläufig]  ",IF(AND(NOT(L17),L18),"[endgültig]  ",""))</f>
        <v xml:space="preserve">[vorläufig]  </v>
      </c>
      <c r="J68" s="432">
        <f>J66+J65</f>
        <v>36193.476875500004</v>
      </c>
      <c r="M68" s="763"/>
    </row>
    <row r="69" spans="1:22">
      <c r="A69" s="734"/>
      <c r="C69" s="147"/>
    </row>
    <row r="70" spans="1:22" s="20" customFormat="1">
      <c r="A70" s="735"/>
      <c r="B70" s="696"/>
      <c r="C70" s="544" t="s">
        <v>53</v>
      </c>
      <c r="D70" s="545"/>
      <c r="E70" s="545"/>
      <c r="F70" s="545"/>
      <c r="G70" s="545"/>
      <c r="H70" s="545"/>
      <c r="I70" s="546"/>
      <c r="J70" s="547"/>
      <c r="L70" s="766"/>
      <c r="M70" s="126"/>
      <c r="N70" s="126"/>
      <c r="O70" s="126"/>
    </row>
    <row r="71" spans="1:22" ht="16.5" customHeight="1">
      <c r="A71" s="734"/>
      <c r="B71" s="697">
        <v>15</v>
      </c>
      <c r="C71" s="203" t="s">
        <v>36</v>
      </c>
      <c r="D71" s="663"/>
      <c r="E71" s="71"/>
      <c r="F71" s="71"/>
      <c r="G71" s="71"/>
      <c r="H71" s="71"/>
      <c r="I71" s="71"/>
      <c r="J71" s="530"/>
    </row>
    <row r="72" spans="1:22" ht="16.5" customHeight="1">
      <c r="A72" s="734"/>
      <c r="B72" s="702" t="s">
        <v>244</v>
      </c>
      <c r="C72" s="66"/>
      <c r="D72" s="1002" t="s">
        <v>37</v>
      </c>
      <c r="E72" s="1003"/>
      <c r="F72" s="1003"/>
      <c r="G72" s="1003"/>
      <c r="H72" s="222" t="s">
        <v>68</v>
      </c>
      <c r="I72" s="472"/>
      <c r="J72" s="88"/>
      <c r="L72" s="81" t="b">
        <v>1</v>
      </c>
      <c r="O72" s="129"/>
    </row>
    <row r="73" spans="1:22" ht="16.5" customHeight="1">
      <c r="A73" s="734"/>
      <c r="B73" s="702" t="s">
        <v>245</v>
      </c>
      <c r="C73" s="89"/>
      <c r="D73" s="1002" t="s">
        <v>38</v>
      </c>
      <c r="E73" s="1003"/>
      <c r="F73" s="1003"/>
      <c r="G73" s="1003"/>
      <c r="H73" s="222" t="s">
        <v>68</v>
      </c>
      <c r="I73" s="473"/>
      <c r="J73" s="88"/>
      <c r="L73" s="81" t="b">
        <v>1</v>
      </c>
    </row>
    <row r="74" spans="1:22" ht="16.5" customHeight="1">
      <c r="A74" s="734"/>
      <c r="B74" s="703" t="s">
        <v>246</v>
      </c>
      <c r="C74" s="89"/>
      <c r="D74" s="1004" t="s">
        <v>291</v>
      </c>
      <c r="E74" s="1005"/>
      <c r="F74" s="1005"/>
      <c r="G74" s="1005"/>
      <c r="H74" s="223" t="s">
        <v>68</v>
      </c>
      <c r="I74" s="472"/>
      <c r="J74" s="88"/>
      <c r="L74" s="81" t="b">
        <v>1</v>
      </c>
    </row>
    <row r="75" spans="1:22" ht="7.5" customHeight="1">
      <c r="A75" s="734"/>
      <c r="B75" s="700"/>
      <c r="C75" s="152"/>
      <c r="D75" s="152"/>
      <c r="E75" s="152"/>
      <c r="F75" s="153"/>
      <c r="G75" s="154"/>
      <c r="H75" s="154"/>
      <c r="I75" s="154"/>
      <c r="J75" s="68"/>
      <c r="L75" s="765"/>
    </row>
    <row r="76" spans="1:22" ht="16.5" customHeight="1">
      <c r="A76" s="734"/>
      <c r="B76" s="697">
        <v>16</v>
      </c>
      <c r="C76" s="204" t="s">
        <v>227</v>
      </c>
      <c r="D76" s="200"/>
      <c r="E76" s="200"/>
      <c r="F76" s="200"/>
      <c r="G76" s="200"/>
      <c r="H76" s="197"/>
      <c r="I76" s="205"/>
      <c r="J76" s="474"/>
      <c r="N76" s="628"/>
      <c r="O76" s="769" t="s">
        <v>194</v>
      </c>
      <c r="P76" s="769" t="s">
        <v>199</v>
      </c>
      <c r="Q76" s="769" t="s">
        <v>135</v>
      </c>
      <c r="R76" s="827"/>
      <c r="S76" s="828"/>
    </row>
    <row r="77" spans="1:22" ht="16.5" customHeight="1">
      <c r="A77" s="734"/>
      <c r="B77" s="719"/>
      <c r="C77" s="201"/>
      <c r="D77" s="202" t="s">
        <v>55</v>
      </c>
      <c r="E77" s="202"/>
      <c r="F77" s="202"/>
      <c r="G77" s="202"/>
      <c r="H77" s="198" t="s">
        <v>54</v>
      </c>
      <c r="I77" s="206"/>
      <c r="J77" s="118"/>
      <c r="N77" s="770" t="s">
        <v>169</v>
      </c>
      <c r="O77" s="274" t="b">
        <f>IF(SUM(P77:R77)&gt;0,TRUE,FALSE)</f>
        <v>0</v>
      </c>
      <c r="P77" s="273">
        <f>'StB-C1 Grundlstg mSt'!J48+'StB-C2 Grundlstg oSt'!J46</f>
        <v>0</v>
      </c>
      <c r="Q77" s="101" t="str">
        <f>'StB-D1 Besondere Lstg'!K47</f>
        <v/>
      </c>
      <c r="R77" s="829"/>
      <c r="S77" s="273"/>
      <c r="T77" s="101"/>
      <c r="U77" s="273"/>
      <c r="V77" s="273"/>
    </row>
    <row r="78" spans="1:22" ht="16.5" customHeight="1">
      <c r="A78" s="734"/>
      <c r="B78" s="720"/>
      <c r="C78" s="67"/>
      <c r="D78" s="207"/>
      <c r="E78" s="7" t="s">
        <v>651</v>
      </c>
      <c r="F78" s="7"/>
      <c r="G78" s="7"/>
      <c r="H78" s="7"/>
      <c r="I78" s="24"/>
      <c r="J78" s="32"/>
      <c r="L78" s="150" t="b">
        <v>0</v>
      </c>
      <c r="N78" s="770" t="s">
        <v>195</v>
      </c>
      <c r="O78" s="274" t="b">
        <f>IF(SUM(P78:R78)&gt;0,TRUE,FALSE)</f>
        <v>1</v>
      </c>
      <c r="P78" s="273">
        <f>'StB-C1 Grundlstg mSt'!J76+'StB-C2 Grundlstg oSt'!J74</f>
        <v>29</v>
      </c>
      <c r="Q78" s="101" t="str">
        <f>'StB-D1 Besondere Lstg'!K77</f>
        <v/>
      </c>
      <c r="R78" s="829"/>
      <c r="S78" s="273"/>
      <c r="T78" s="101"/>
      <c r="U78" s="273"/>
    </row>
    <row r="79" spans="1:22" ht="16.5" customHeight="1">
      <c r="A79" s="734"/>
      <c r="B79" s="720"/>
      <c r="C79" s="87"/>
      <c r="D79" s="207"/>
      <c r="E79" s="658" t="s">
        <v>202</v>
      </c>
      <c r="F79" s="658"/>
      <c r="G79" s="658"/>
      <c r="H79" s="658"/>
      <c r="I79" s="660"/>
      <c r="J79" s="32"/>
      <c r="L79" s="150" t="b">
        <v>0</v>
      </c>
      <c r="N79" s="770" t="s">
        <v>196</v>
      </c>
      <c r="O79" s="274" t="b">
        <f>IF(SUM(P79:R79)&gt;0,TRUE,FALSE)</f>
        <v>1</v>
      </c>
      <c r="P79" s="273">
        <f>'StB-C1 Grundlstg mSt'!J120+'StB-C2 Grundlstg oSt'!J125</f>
        <v>50</v>
      </c>
      <c r="Q79" s="101" t="str">
        <f>'StB-D1 Besondere Lstg'!K122</f>
        <v/>
      </c>
      <c r="R79" s="829"/>
      <c r="S79" s="273"/>
      <c r="T79" s="101"/>
      <c r="U79" s="273"/>
    </row>
    <row r="80" spans="1:22" ht="16.5" customHeight="1">
      <c r="A80" s="734"/>
      <c r="B80" s="703" t="s">
        <v>188</v>
      </c>
      <c r="C80" s="649" t="str">
        <f>IF(AND(L78,NOT(L79)),"","1")</f>
        <v>1</v>
      </c>
      <c r="D80" s="226" t="str">
        <f>IF(AND(L78,NOT(L79)),"alle vertraglichen Leistungsphasen","Klären der Aufgabenstellung")</f>
        <v>Klären der Aufgabenstellung</v>
      </c>
      <c r="E80" s="226"/>
      <c r="F80" s="226"/>
      <c r="G80" s="227" t="s">
        <v>167</v>
      </c>
      <c r="H80" s="1006"/>
      <c r="I80" s="1007"/>
      <c r="J80" s="32"/>
      <c r="N80" s="770" t="s">
        <v>197</v>
      </c>
      <c r="O80" s="274" t="b">
        <f>IF(SUM(P80:R80)&gt;0,TRUE,FALSE)</f>
        <v>1</v>
      </c>
      <c r="P80" s="273">
        <f>'StB-C1 Grundlstg mSt'!J135+'StB-C2 Grundlstg oSt'!J140</f>
        <v>10</v>
      </c>
      <c r="Q80" s="101">
        <f>'StB-D1 Besondere Lstg'!K164</f>
        <v>0</v>
      </c>
      <c r="R80" s="829"/>
      <c r="S80" s="273"/>
      <c r="T80" s="101"/>
      <c r="U80" s="273"/>
    </row>
    <row r="81" spans="1:21" ht="16.5" customHeight="1">
      <c r="A81" s="734"/>
      <c r="B81" s="703" t="s">
        <v>189</v>
      </c>
      <c r="C81" s="97"/>
      <c r="D81" s="8"/>
      <c r="E81" s="8"/>
      <c r="F81" s="8"/>
      <c r="G81" s="224" t="s">
        <v>168</v>
      </c>
      <c r="H81" s="1000"/>
      <c r="I81" s="1001"/>
      <c r="J81" s="32"/>
      <c r="N81" s="770"/>
      <c r="O81" s="274"/>
      <c r="P81" s="273"/>
      <c r="Q81" s="101"/>
      <c r="R81" s="829"/>
      <c r="S81" s="273"/>
      <c r="T81" s="101"/>
      <c r="U81" s="273"/>
    </row>
    <row r="82" spans="1:21" ht="16.5" customHeight="1">
      <c r="A82" s="734"/>
      <c r="B82" s="705" t="s">
        <v>190</v>
      </c>
      <c r="C82" s="225">
        <v>2</v>
      </c>
      <c r="D82" s="226" t="s">
        <v>626</v>
      </c>
      <c r="E82" s="226"/>
      <c r="F82" s="226"/>
      <c r="G82" s="227" t="s">
        <v>167</v>
      </c>
      <c r="H82" s="1006"/>
      <c r="I82" s="1007"/>
      <c r="J82" s="32"/>
      <c r="N82" s="770"/>
      <c r="O82" s="274"/>
      <c r="P82" s="273"/>
      <c r="Q82" s="101"/>
      <c r="R82" s="829"/>
      <c r="S82" s="273"/>
      <c r="T82" s="101"/>
      <c r="U82" s="273"/>
    </row>
    <row r="83" spans="1:21" ht="16.5" customHeight="1">
      <c r="A83" s="734"/>
      <c r="B83" s="705" t="s">
        <v>277</v>
      </c>
      <c r="C83" s="97"/>
      <c r="D83" s="8"/>
      <c r="E83" s="8"/>
      <c r="F83" s="8"/>
      <c r="G83" s="224" t="s">
        <v>168</v>
      </c>
      <c r="H83" s="1000"/>
      <c r="I83" s="1001"/>
      <c r="J83" s="32"/>
      <c r="N83" s="770"/>
      <c r="O83" s="274"/>
      <c r="P83" s="273"/>
      <c r="Q83" s="101"/>
      <c r="R83" s="829"/>
      <c r="S83" s="273"/>
      <c r="T83" s="101"/>
      <c r="U83" s="273"/>
    </row>
    <row r="84" spans="1:21" ht="16.5" customHeight="1">
      <c r="A84" s="734"/>
      <c r="B84" s="705" t="s">
        <v>278</v>
      </c>
      <c r="C84" s="225">
        <v>3</v>
      </c>
      <c r="D84" s="226" t="s">
        <v>627</v>
      </c>
      <c r="E84" s="226"/>
      <c r="F84" s="226"/>
      <c r="G84" s="227" t="s">
        <v>167</v>
      </c>
      <c r="H84" s="1006"/>
      <c r="I84" s="1007"/>
      <c r="J84" s="32"/>
      <c r="N84" s="770"/>
      <c r="O84" s="274"/>
      <c r="P84" s="273"/>
      <c r="Q84" s="101"/>
      <c r="R84" s="829"/>
      <c r="S84" s="273"/>
      <c r="T84" s="101"/>
      <c r="U84" s="273"/>
    </row>
    <row r="85" spans="1:21" ht="16.5" customHeight="1">
      <c r="A85" s="734"/>
      <c r="B85" s="705" t="s">
        <v>279</v>
      </c>
      <c r="C85" s="97"/>
      <c r="D85" s="8"/>
      <c r="E85" s="8"/>
      <c r="F85" s="8"/>
      <c r="G85" s="224" t="s">
        <v>168</v>
      </c>
      <c r="H85" s="1000"/>
      <c r="I85" s="1001"/>
      <c r="J85" s="32"/>
      <c r="N85" s="770"/>
      <c r="O85" s="274"/>
      <c r="P85" s="273"/>
      <c r="Q85" s="101"/>
      <c r="R85" s="829"/>
      <c r="S85" s="273"/>
      <c r="T85" s="101"/>
      <c r="U85" s="273"/>
    </row>
    <row r="86" spans="1:21" ht="16.5" customHeight="1">
      <c r="A86" s="734"/>
      <c r="B86" s="705" t="s">
        <v>280</v>
      </c>
      <c r="C86" s="225">
        <v>4</v>
      </c>
      <c r="D86" s="226" t="s">
        <v>628</v>
      </c>
      <c r="E86" s="226"/>
      <c r="F86" s="226"/>
      <c r="G86" s="227" t="s">
        <v>167</v>
      </c>
      <c r="H86" s="1006"/>
      <c r="I86" s="1007"/>
      <c r="J86" s="32"/>
      <c r="N86" s="771" t="s">
        <v>200</v>
      </c>
      <c r="O86" s="629"/>
      <c r="P86" s="630">
        <f>SUM(P77:P85)</f>
        <v>89</v>
      </c>
      <c r="Q86" s="754"/>
      <c r="R86" s="690"/>
      <c r="T86" s="101"/>
    </row>
    <row r="87" spans="1:21" ht="16.5" customHeight="1">
      <c r="A87" s="734"/>
      <c r="B87" s="705" t="s">
        <v>281</v>
      </c>
      <c r="C87" s="97"/>
      <c r="D87" s="8"/>
      <c r="E87" s="8"/>
      <c r="F87" s="8"/>
      <c r="G87" s="224" t="s">
        <v>168</v>
      </c>
      <c r="H87" s="1000"/>
      <c r="I87" s="1001"/>
      <c r="J87" s="32"/>
    </row>
    <row r="88" spans="1:21">
      <c r="A88" s="734"/>
      <c r="B88" s="717"/>
      <c r="C88" s="7"/>
      <c r="D88" s="7"/>
      <c r="E88" s="7"/>
      <c r="F88" s="7"/>
      <c r="G88" s="7"/>
      <c r="H88" s="7"/>
      <c r="I88" s="7"/>
      <c r="J88" s="7"/>
    </row>
    <row r="89" spans="1:21" ht="18" customHeight="1">
      <c r="A89" s="734"/>
      <c r="B89" s="721" t="s">
        <v>288</v>
      </c>
      <c r="C89" s="665" t="s">
        <v>80</v>
      </c>
      <c r="D89" s="665"/>
      <c r="E89" s="665"/>
      <c r="F89" s="665"/>
      <c r="G89" s="665"/>
      <c r="H89" s="665"/>
      <c r="I89" s="665"/>
      <c r="J89" s="666"/>
      <c r="L89" s="150" t="b">
        <v>0</v>
      </c>
    </row>
    <row r="90" spans="1:21" ht="16.5" customHeight="1">
      <c r="A90" s="734"/>
      <c r="B90" s="722"/>
      <c r="C90" s="98"/>
      <c r="D90" s="7" t="s">
        <v>65</v>
      </c>
      <c r="E90" s="7"/>
      <c r="F90" s="7"/>
      <c r="G90" s="7"/>
      <c r="H90" s="7"/>
      <c r="I90" s="7"/>
      <c r="J90" s="534"/>
    </row>
    <row r="91" spans="1:21" ht="16.5" customHeight="1">
      <c r="A91" s="734"/>
      <c r="B91" s="698" t="s">
        <v>285</v>
      </c>
      <c r="C91" s="220" t="s">
        <v>66</v>
      </c>
      <c r="D91" s="234"/>
      <c r="E91" s="475"/>
      <c r="F91" s="475"/>
      <c r="G91" s="475"/>
      <c r="H91" s="475"/>
      <c r="I91" s="533"/>
      <c r="J91" s="87"/>
    </row>
    <row r="92" spans="1:21" ht="16.5" customHeight="1">
      <c r="A92" s="734"/>
      <c r="B92" s="709" t="s">
        <v>191</v>
      </c>
      <c r="C92" s="651"/>
      <c r="D92" s="221" t="str">
        <f>D72</f>
        <v>Ingenieur nach Ing.-Gesetz</v>
      </c>
      <c r="E92" s="234"/>
      <c r="F92" s="234"/>
      <c r="G92" s="221"/>
      <c r="H92" s="222" t="s">
        <v>27</v>
      </c>
      <c r="I92" s="776"/>
      <c r="J92" s="77" t="str">
        <f>IF(AND(L89,L72,J68&gt;0,I92&gt;0),I72*I92,"")</f>
        <v/>
      </c>
    </row>
    <row r="93" spans="1:21" ht="16.5" customHeight="1">
      <c r="A93" s="734"/>
      <c r="B93" s="709" t="s">
        <v>192</v>
      </c>
      <c r="C93" s="651"/>
      <c r="D93" s="221" t="str">
        <f>D73</f>
        <v>Techniker</v>
      </c>
      <c r="E93" s="234"/>
      <c r="F93" s="234"/>
      <c r="G93" s="221"/>
      <c r="H93" s="222" t="s">
        <v>27</v>
      </c>
      <c r="I93" s="776"/>
      <c r="J93" s="77" t="str">
        <f>IF(AND(L89,L73,J68&gt;0,I93&gt;0),I73*I93,"")</f>
        <v/>
      </c>
    </row>
    <row r="94" spans="1:21" ht="16.5" customHeight="1">
      <c r="A94" s="734"/>
      <c r="B94" s="704" t="s">
        <v>282</v>
      </c>
      <c r="C94" s="667"/>
      <c r="D94" s="640" t="str">
        <f>D74</f>
        <v xml:space="preserve">Technische Zeichner, sonst. Mitarbeiter </v>
      </c>
      <c r="E94" s="475"/>
      <c r="F94" s="475"/>
      <c r="G94" s="625"/>
      <c r="H94" s="641" t="s">
        <v>27</v>
      </c>
      <c r="I94" s="776"/>
      <c r="J94" s="77" t="str">
        <f>IF(AND(L89,L74,J68&gt;0,I94&gt;0),I74*I94,"")</f>
        <v/>
      </c>
    </row>
    <row r="95" spans="1:21" ht="16.5" customHeight="1">
      <c r="A95" s="734"/>
      <c r="B95" s="713">
        <v>18</v>
      </c>
      <c r="C95" s="773" t="s">
        <v>64</v>
      </c>
      <c r="D95" s="226"/>
      <c r="E95" s="226"/>
      <c r="F95" s="226"/>
      <c r="G95" s="642"/>
      <c r="H95" s="643" t="s">
        <v>30</v>
      </c>
      <c r="I95" s="626" t="s">
        <v>251</v>
      </c>
      <c r="J95" s="624"/>
    </row>
    <row r="96" spans="1:21" ht="16.5" customHeight="1">
      <c r="A96" s="734"/>
      <c r="B96" s="704" t="s">
        <v>286</v>
      </c>
      <c r="C96" s="653"/>
      <c r="D96" s="1008" t="str">
        <f>IF(AND(L58,L62),IF(E62="","",E62),"Inhalt aus Z 11.3")</f>
        <v>Inhalt aus Z 11.3</v>
      </c>
      <c r="E96" s="1008"/>
      <c r="F96" s="1008"/>
      <c r="G96" s="1009"/>
      <c r="H96" s="776"/>
      <c r="I96" s="777"/>
      <c r="J96" s="627" t="str">
        <f>IF(AND(L89,L58,L62,J68&gt;0,H96&gt;0),H96*I96,"")</f>
        <v/>
      </c>
      <c r="M96" s="750" t="s">
        <v>90</v>
      </c>
    </row>
    <row r="97" spans="1:15" ht="16.5" customHeight="1">
      <c r="A97" s="734"/>
      <c r="B97" s="704" t="s">
        <v>287</v>
      </c>
      <c r="C97" s="654"/>
      <c r="D97" s="1010"/>
      <c r="E97" s="1010"/>
      <c r="F97" s="1010"/>
      <c r="G97" s="1011"/>
      <c r="H97" s="50"/>
      <c r="I97" s="119"/>
      <c r="J97" s="77" t="str">
        <f>IF(AND(L89,J68&gt;0,H97&gt;0),H97*I97,"")</f>
        <v/>
      </c>
    </row>
    <row r="98" spans="1:15" ht="16.5" customHeight="1">
      <c r="A98" s="734"/>
      <c r="B98" s="713">
        <v>19</v>
      </c>
      <c r="C98" s="458" t="s">
        <v>67</v>
      </c>
      <c r="D98" s="458"/>
      <c r="E98" s="458"/>
      <c r="F98" s="458"/>
      <c r="G98" s="458"/>
      <c r="H98" s="458"/>
      <c r="I98" s="477"/>
      <c r="J98" s="361" t="str">
        <f>IF(L89,SUM(J92:J97),"")</f>
        <v/>
      </c>
    </row>
    <row r="99" spans="1:15" ht="7.5" customHeight="1">
      <c r="A99" s="734"/>
      <c r="B99" s="723"/>
      <c r="C99" s="69"/>
      <c r="D99" s="68"/>
      <c r="E99" s="68"/>
      <c r="F99" s="68"/>
      <c r="G99" s="68"/>
      <c r="H99" s="68"/>
      <c r="I99" s="68"/>
      <c r="J99" s="137"/>
    </row>
    <row r="100" spans="1:15" s="20" customFormat="1" ht="19.5" customHeight="1">
      <c r="A100" s="735"/>
      <c r="B100" s="696"/>
      <c r="C100" s="544" t="s">
        <v>175</v>
      </c>
      <c r="D100" s="545"/>
      <c r="E100" s="545"/>
      <c r="F100" s="545"/>
      <c r="G100" s="545"/>
      <c r="H100" s="545"/>
      <c r="I100" s="546"/>
      <c r="J100" s="548"/>
      <c r="L100" s="766"/>
      <c r="M100" s="126"/>
      <c r="N100" s="126"/>
      <c r="O100" s="126"/>
    </row>
    <row r="101" spans="1:15" ht="16.5" customHeight="1">
      <c r="A101" s="734"/>
      <c r="B101" s="715">
        <v>20</v>
      </c>
      <c r="C101" s="68"/>
      <c r="D101" s="69" t="s">
        <v>289</v>
      </c>
      <c r="E101" s="68"/>
      <c r="F101" s="68"/>
      <c r="G101" s="724"/>
      <c r="H101" s="68"/>
      <c r="I101" s="23"/>
      <c r="J101" s="57">
        <f>SUM(J65,J98)</f>
        <v>30414.686450000001</v>
      </c>
    </row>
    <row r="102" spans="1:15" ht="16.5" customHeight="1">
      <c r="A102" s="734"/>
      <c r="B102" s="716">
        <v>21</v>
      </c>
      <c r="C102" s="202"/>
      <c r="D102" s="202" t="s">
        <v>98</v>
      </c>
      <c r="E102" s="202"/>
      <c r="F102" s="202"/>
      <c r="G102" s="202"/>
      <c r="H102" s="202"/>
      <c r="I102" s="677">
        <f>I66</f>
        <v>0.19</v>
      </c>
      <c r="J102" s="622">
        <f>J101*I102</f>
        <v>5778.7904255000003</v>
      </c>
    </row>
    <row r="103" spans="1:15" ht="17" thickBot="1">
      <c r="B103" s="717"/>
      <c r="C103" s="440"/>
      <c r="D103" s="7"/>
      <c r="E103" s="7"/>
      <c r="F103" s="7"/>
      <c r="G103" s="7"/>
      <c r="H103" s="7"/>
      <c r="I103" s="7"/>
      <c r="J103" s="438"/>
    </row>
    <row r="104" spans="1:15" ht="30" customHeight="1" thickBot="1">
      <c r="B104" s="718">
        <v>22</v>
      </c>
      <c r="C104" s="439" t="str">
        <f>IF(I102&lt;=0,"Angebotssumme netto","Angebotssumme brutto")</f>
        <v>Angebotssumme brutto</v>
      </c>
      <c r="D104" s="439"/>
      <c r="E104" s="439"/>
      <c r="F104" s="439"/>
      <c r="G104" s="439"/>
      <c r="H104" s="439"/>
      <c r="I104" s="678"/>
      <c r="J104" s="432">
        <f>J102+J101</f>
        <v>36193.476875500004</v>
      </c>
    </row>
    <row r="105" spans="1:15">
      <c r="C105" s="147"/>
      <c r="D105" s="147" t="s">
        <v>290</v>
      </c>
      <c r="E105" s="147"/>
    </row>
    <row r="106" spans="1:15"/>
    <row r="107" spans="1:15"/>
  </sheetData>
  <sheetProtection sheet="1" formatRows="0"/>
  <dataConsolidate/>
  <mergeCells count="37">
    <mergeCell ref="B6:E6"/>
    <mergeCell ref="B7:E7"/>
    <mergeCell ref="B10:F10"/>
    <mergeCell ref="G10:H10"/>
    <mergeCell ref="F6:J6"/>
    <mergeCell ref="D96:G96"/>
    <mergeCell ref="D97:G97"/>
    <mergeCell ref="K2:K8"/>
    <mergeCell ref="F5:H5"/>
    <mergeCell ref="D17:H17"/>
    <mergeCell ref="E25:I25"/>
    <mergeCell ref="D18:H18"/>
    <mergeCell ref="F7:J7"/>
    <mergeCell ref="F8:J8"/>
    <mergeCell ref="B8:E8"/>
    <mergeCell ref="B2:H2"/>
    <mergeCell ref="B3:H3"/>
    <mergeCell ref="E31:I31"/>
    <mergeCell ref="E35:I35"/>
    <mergeCell ref="E26:I26"/>
    <mergeCell ref="B5:E5"/>
    <mergeCell ref="H83:I83"/>
    <mergeCell ref="H85:I85"/>
    <mergeCell ref="H87:I87"/>
    <mergeCell ref="H80:I80"/>
    <mergeCell ref="H82:I82"/>
    <mergeCell ref="H84:I84"/>
    <mergeCell ref="H86:I86"/>
    <mergeCell ref="E39:I39"/>
    <mergeCell ref="E62:I62"/>
    <mergeCell ref="D40:G40"/>
    <mergeCell ref="D41:G41"/>
    <mergeCell ref="H81:I81"/>
    <mergeCell ref="E61:H61"/>
    <mergeCell ref="D72:G72"/>
    <mergeCell ref="D73:G73"/>
    <mergeCell ref="D74:G74"/>
  </mergeCells>
  <conditionalFormatting sqref="B82:I87">
    <cfRule type="expression" dxfId="94" priority="107">
      <formula>AND($L$78,$L$79=FALSE)</formula>
    </cfRule>
  </conditionalFormatting>
  <conditionalFormatting sqref="C17:C18">
    <cfRule type="expression" dxfId="93" priority="1998">
      <formula>OR(AND($L$15,$M$17),AND($L$15,$N$17))</formula>
    </cfRule>
  </conditionalFormatting>
  <conditionalFormatting sqref="C27">
    <cfRule type="expression" dxfId="92" priority="22">
      <formula>AND(L27,L32)</formula>
    </cfRule>
  </conditionalFormatting>
  <conditionalFormatting sqref="C32">
    <cfRule type="expression" dxfId="91" priority="21">
      <formula>AND(L27,L32)</formula>
    </cfRule>
  </conditionalFormatting>
  <conditionalFormatting sqref="C55:C57">
    <cfRule type="expression" dxfId="90" priority="212">
      <formula>OR($M$55,$N$55)</formula>
    </cfRule>
  </conditionalFormatting>
  <conditionalFormatting sqref="C72">
    <cfRule type="expression" dxfId="89" priority="2417">
      <formula>AND(L89,L58,L61,NOT(L72))</formula>
    </cfRule>
  </conditionalFormatting>
  <conditionalFormatting sqref="C96">
    <cfRule type="expression" dxfId="88" priority="1880">
      <formula>AND(NOT(M58),NOT(M62))</formula>
    </cfRule>
  </conditionalFormatting>
  <conditionalFormatting sqref="C97">
    <cfRule type="expression" dxfId="87" priority="1799">
      <formula>NOT(M89)</formula>
    </cfRule>
  </conditionalFormatting>
  <conditionalFormatting sqref="C98">
    <cfRule type="expression" dxfId="86" priority="3">
      <formula>$L$89</formula>
    </cfRule>
  </conditionalFormatting>
  <conditionalFormatting sqref="C22:D22">
    <cfRule type="expression" dxfId="85" priority="13">
      <formula>$L$14</formula>
    </cfRule>
  </conditionalFormatting>
  <conditionalFormatting sqref="C23:D23">
    <cfRule type="expression" dxfId="84" priority="12">
      <formula>$M$14</formula>
    </cfRule>
  </conditionalFormatting>
  <conditionalFormatting sqref="C89:J89 C91 C95">
    <cfRule type="expression" dxfId="83" priority="4">
      <formula>$L$89</formula>
    </cfRule>
  </conditionalFormatting>
  <conditionalFormatting sqref="D30">
    <cfRule type="expression" dxfId="82" priority="2019">
      <formula>N27=FALSE</formula>
    </cfRule>
  </conditionalFormatting>
  <conditionalFormatting sqref="D31 J31">
    <cfRule type="expression" dxfId="81" priority="36">
      <formula>OR($M$17,$N$17)</formula>
    </cfRule>
  </conditionalFormatting>
  <conditionalFormatting sqref="D31">
    <cfRule type="expression" dxfId="80" priority="39">
      <formula>N29=FALSE</formula>
    </cfRule>
  </conditionalFormatting>
  <conditionalFormatting sqref="D34:D35">
    <cfRule type="expression" dxfId="79" priority="120">
      <formula>N32=FALSE</formula>
    </cfRule>
  </conditionalFormatting>
  <conditionalFormatting sqref="D59">
    <cfRule type="expression" dxfId="78" priority="2184">
      <formula>OR($L$56,$L$57)</formula>
    </cfRule>
    <cfRule type="expression" dxfId="77" priority="2183">
      <formula>NOT(L58)</formula>
    </cfRule>
  </conditionalFormatting>
  <conditionalFormatting sqref="D61">
    <cfRule type="expression" dxfId="76" priority="80">
      <formula>NOT(L58)</formula>
    </cfRule>
  </conditionalFormatting>
  <conditionalFormatting sqref="D62">
    <cfRule type="expression" dxfId="75" priority="81">
      <formula>NOT(L58)</formula>
    </cfRule>
  </conditionalFormatting>
  <conditionalFormatting sqref="D78">
    <cfRule type="expression" dxfId="74" priority="194">
      <formula>OR(AND(L78,L79),AND(L78=FALSE,L79=FALSE))</formula>
    </cfRule>
  </conditionalFormatting>
  <conditionalFormatting sqref="D79">
    <cfRule type="expression" dxfId="73" priority="195">
      <formula>OR(AND(L78,L79),AND(L78=FALSE,L79=FALSE))</formula>
    </cfRule>
  </conditionalFormatting>
  <conditionalFormatting sqref="D96">
    <cfRule type="expression" dxfId="72" priority="1879">
      <formula>AND(NOT(L58),NOT(L62))</formula>
    </cfRule>
  </conditionalFormatting>
  <conditionalFormatting sqref="D97">
    <cfRule type="expression" dxfId="71" priority="1809">
      <formula>NOT(L89)</formula>
    </cfRule>
  </conditionalFormatting>
  <conditionalFormatting sqref="D17:H17">
    <cfRule type="expression" dxfId="70" priority="87">
      <formula>AND(L17,NOT(L18))</formula>
    </cfRule>
  </conditionalFormatting>
  <conditionalFormatting sqref="D18:H18">
    <cfRule type="expression" dxfId="69" priority="86">
      <formula>AND(L18,NOT(L17))</formula>
    </cfRule>
  </conditionalFormatting>
  <conditionalFormatting sqref="D28:H29 E30:I31">
    <cfRule type="expression" dxfId="68" priority="43">
      <formula>OR($M$17,$N$17)</formula>
    </cfRule>
  </conditionalFormatting>
  <conditionalFormatting sqref="D33:J35">
    <cfRule type="expression" dxfId="67" priority="30">
      <formula>OR($M$17,$N$17)</formula>
    </cfRule>
  </conditionalFormatting>
  <conditionalFormatting sqref="E26">
    <cfRule type="expression" dxfId="66" priority="88">
      <formula>NOT(O19)</formula>
    </cfRule>
  </conditionalFormatting>
  <conditionalFormatting sqref="E31">
    <cfRule type="expression" dxfId="65" priority="2014">
      <formula>OR(NOT(L27),AND(L27,L32))</formula>
    </cfRule>
  </conditionalFormatting>
  <conditionalFormatting sqref="E35">
    <cfRule type="expression" dxfId="64" priority="91">
      <formula>OR(NOT(L32),AND(L27,L32))</formula>
    </cfRule>
  </conditionalFormatting>
  <conditionalFormatting sqref="E59">
    <cfRule type="expression" dxfId="63" priority="9">
      <formula>NOT(L58)</formula>
    </cfRule>
  </conditionalFormatting>
  <conditionalFormatting sqref="E61">
    <cfRule type="expression" dxfId="62" priority="118">
      <formula>L58=FALSE</formula>
    </cfRule>
  </conditionalFormatting>
  <conditionalFormatting sqref="E62">
    <cfRule type="expression" dxfId="61" priority="117">
      <formula>L58=FALSE</formula>
    </cfRule>
  </conditionalFormatting>
  <conditionalFormatting sqref="E59:G59 I59">
    <cfRule type="expression" dxfId="60" priority="11">
      <formula>OR($L$56,$L$57)</formula>
    </cfRule>
  </conditionalFormatting>
  <conditionalFormatting sqref="E31:I31">
    <cfRule type="expression" dxfId="59" priority="2015">
      <formula>AND(L27,NOT(L32),E31="")</formula>
    </cfRule>
  </conditionalFormatting>
  <conditionalFormatting sqref="E35:I35">
    <cfRule type="expression" dxfId="58" priority="92">
      <formula>AND(L32,E35="")</formula>
    </cfRule>
  </conditionalFormatting>
  <conditionalFormatting sqref="G78">
    <cfRule type="expression" dxfId="57" priority="1956">
      <formula>OR(AND(M80,M81),AND(M80=FALSE,M81=FALSE))</formula>
    </cfRule>
  </conditionalFormatting>
  <conditionalFormatting sqref="G79">
    <cfRule type="expression" dxfId="56" priority="1954">
      <formula>OR(AND(M80,M81),AND(M80=FALSE,M81=FALSE))</formula>
    </cfRule>
  </conditionalFormatting>
  <conditionalFormatting sqref="H96">
    <cfRule type="expression" dxfId="55" priority="2188">
      <formula>AND($L$89,L62)</formula>
    </cfRule>
    <cfRule type="expression" dxfId="54" priority="2189">
      <formula>AND($L$89,L58,L62,H96="")</formula>
    </cfRule>
  </conditionalFormatting>
  <conditionalFormatting sqref="H97">
    <cfRule type="expression" dxfId="53" priority="1806">
      <formula>AND($L$89,D97&lt;&gt;"",H97="")</formula>
    </cfRule>
    <cfRule type="expression" dxfId="52" priority="1805">
      <formula>NOT(L89)</formula>
    </cfRule>
  </conditionalFormatting>
  <conditionalFormatting sqref="H30:I30">
    <cfRule type="expression" dxfId="51" priority="121">
      <formula>L27=FALSE</formula>
    </cfRule>
  </conditionalFormatting>
  <conditionalFormatting sqref="H34:I34">
    <cfRule type="expression" dxfId="50" priority="2022">
      <formula>L32=FALSE</formula>
    </cfRule>
  </conditionalFormatting>
  <conditionalFormatting sqref="H80:I80">
    <cfRule type="expression" dxfId="49" priority="2408">
      <formula>OR(AND($O77,$H80=""),AND($L78,$H80=""))</formula>
    </cfRule>
    <cfRule type="expression" dxfId="48" priority="2409">
      <formula>AND(NOT($O77),NOT($L78))</formula>
    </cfRule>
  </conditionalFormatting>
  <conditionalFormatting sqref="H81:I81">
    <cfRule type="expression" dxfId="47" priority="2410">
      <formula>OR(AND($O77,$H81=""),AND($L78,$H81=""))</formula>
    </cfRule>
    <cfRule type="expression" dxfId="46" priority="2411">
      <formula>AND(NOT($O77),NOT($L78))</formula>
    </cfRule>
  </conditionalFormatting>
  <conditionalFormatting sqref="H82:I82">
    <cfRule type="expression" dxfId="45" priority="192">
      <formula>$O78=FALSE</formula>
    </cfRule>
    <cfRule type="expression" dxfId="44" priority="2405">
      <formula>IF(AND($H82="",$O78),1,0)</formula>
    </cfRule>
  </conditionalFormatting>
  <conditionalFormatting sqref="H83:I84">
    <cfRule type="expression" dxfId="43" priority="607">
      <formula>IF(AND($H83="",$O78),1,0)</formula>
    </cfRule>
    <cfRule type="expression" dxfId="42" priority="112">
      <formula>$O78=FALSE</formula>
    </cfRule>
  </conditionalFormatting>
  <conditionalFormatting sqref="H85:I86">
    <cfRule type="expression" dxfId="41" priority="191">
      <formula>IF(AND($H85="",$O79),1,0)</formula>
    </cfRule>
    <cfRule type="expression" dxfId="40" priority="109">
      <formula>$O79=FALSE</formula>
    </cfRule>
  </conditionalFormatting>
  <conditionalFormatting sqref="H87:I87">
    <cfRule type="expression" dxfId="39" priority="108">
      <formula>$O80=FALSE</formula>
    </cfRule>
    <cfRule type="expression" dxfId="38" priority="190">
      <formula>IF(AND($H87="",$O80),1,0)</formula>
    </cfRule>
  </conditionalFormatting>
  <conditionalFormatting sqref="I23">
    <cfRule type="expression" dxfId="37" priority="2000">
      <formula>NOT(O19)</formula>
    </cfRule>
    <cfRule type="expression" dxfId="36" priority="1999">
      <formula>AND(M14,I23="")</formula>
    </cfRule>
  </conditionalFormatting>
  <conditionalFormatting sqref="I24">
    <cfRule type="expression" dxfId="35" priority="2001">
      <formula>NOT(O19)</formula>
    </cfRule>
    <cfRule type="expression" dxfId="34" priority="2002">
      <formula>AND(M14,L27,I24="")</formula>
    </cfRule>
    <cfRule type="expression" dxfId="33" priority="2003">
      <formula>AND(O19,I24&lt;&gt;"",$I$24&lt;=$I$23)</formula>
    </cfRule>
  </conditionalFormatting>
  <conditionalFormatting sqref="I28">
    <cfRule type="expression" dxfId="32" priority="1773">
      <formula>AND($L$27,NOT(L32),$I$28="")</formula>
    </cfRule>
    <cfRule type="expression" dxfId="31" priority="1772">
      <formula>OR(I28&lt;0,I28&gt;100)</formula>
    </cfRule>
    <cfRule type="expression" dxfId="30" priority="1771">
      <formula>OR(NOT(L27),AND(L27,L32))</formula>
    </cfRule>
  </conditionalFormatting>
  <conditionalFormatting sqref="I28:I29">
    <cfRule type="expression" dxfId="29" priority="1">
      <formula>OR($M$17,$N$17)</formula>
    </cfRule>
  </conditionalFormatting>
  <conditionalFormatting sqref="I33">
    <cfRule type="expression" dxfId="28" priority="1774">
      <formula>OR(NOT(L32),AND(L27,L32))</formula>
    </cfRule>
    <cfRule type="expression" dxfId="27" priority="1775">
      <formula>OR(I33&lt;0,I33&gt;100)</formula>
    </cfRule>
    <cfRule type="expression" dxfId="26" priority="1776">
      <formula>AND($L$32,NOT(L27),I33="")</formula>
    </cfRule>
  </conditionalFormatting>
  <conditionalFormatting sqref="I40">
    <cfRule type="expression" dxfId="25" priority="207">
      <formula>AND($I$40&lt;&gt;0,NOT($O$39))</formula>
    </cfRule>
  </conditionalFormatting>
  <conditionalFormatting sqref="I40:I41">
    <cfRule type="expression" dxfId="24" priority="204">
      <formula>OR(AND($M$39,I40&lt;&gt;0),AND($N$39,I40&lt;&gt;0))</formula>
    </cfRule>
  </conditionalFormatting>
  <conditionalFormatting sqref="I41">
    <cfRule type="expression" dxfId="23" priority="205">
      <formula>AND($I$41&lt;&gt;0,NOT($O$39))</formula>
    </cfRule>
  </conditionalFormatting>
  <conditionalFormatting sqref="I56">
    <cfRule type="expression" dxfId="22" priority="211">
      <formula>AND(NOT($M$55),NOT($N$55),L56,NOT(O56))</formula>
    </cfRule>
    <cfRule type="expression" dxfId="21" priority="210">
      <formula>I56&gt;100%</formula>
    </cfRule>
  </conditionalFormatting>
  <conditionalFormatting sqref="I56:I57">
    <cfRule type="expression" dxfId="20" priority="149">
      <formula>OR(($M$55),($N$55),NOT(L56))</formula>
    </cfRule>
  </conditionalFormatting>
  <conditionalFormatting sqref="I57">
    <cfRule type="expression" dxfId="19" priority="209">
      <formula>$I$56&lt;0</formula>
    </cfRule>
    <cfRule type="expression" dxfId="18" priority="208">
      <formula>AND(NOT($M$55),NOT($N$55),L57,NOT(O57))</formula>
    </cfRule>
  </conditionalFormatting>
  <conditionalFormatting sqref="I61">
    <cfRule type="expression" dxfId="17" priority="1886">
      <formula>O58=FALSE</formula>
    </cfRule>
  </conditionalFormatting>
  <conditionalFormatting sqref="I72:I74">
    <cfRule type="expression" dxfId="16" priority="228">
      <formula>AND(L72,I72="")</formula>
    </cfRule>
    <cfRule type="expression" dxfId="15" priority="114">
      <formula>L72=FALSE</formula>
    </cfRule>
  </conditionalFormatting>
  <conditionalFormatting sqref="I92">
    <cfRule type="expression" dxfId="14" priority="239">
      <formula>AND($L$89,$L$72)</formula>
    </cfRule>
    <cfRule type="expression" dxfId="13" priority="256">
      <formula>AND($L$89,$L$72,$I$92="")</formula>
    </cfRule>
  </conditionalFormatting>
  <conditionalFormatting sqref="I93">
    <cfRule type="expression" dxfId="12" priority="255">
      <formula>AND($L$89,L73,I93="")</formula>
    </cfRule>
    <cfRule type="expression" dxfId="11" priority="238">
      <formula>AND($L$89,$L$73)</formula>
    </cfRule>
  </conditionalFormatting>
  <conditionalFormatting sqref="I94">
    <cfRule type="expression" dxfId="10" priority="254">
      <formula>AND($L$89,L74,I94="")</formula>
    </cfRule>
    <cfRule type="expression" dxfId="9" priority="237">
      <formula>AND($L$89,$L$74)</formula>
    </cfRule>
  </conditionalFormatting>
  <conditionalFormatting sqref="I96">
    <cfRule type="expression" dxfId="8" priority="1876">
      <formula>AND($L$89,L58,L62)</formula>
    </cfRule>
    <cfRule type="expression" dxfId="7" priority="1875">
      <formula>AND($L$89,$L$58,$L$62,$H$96&gt;0,$I$96="")</formula>
    </cfRule>
  </conditionalFormatting>
  <conditionalFormatting sqref="I97">
    <cfRule type="expression" dxfId="6" priority="1807">
      <formula>AND($L$89,$D$97&lt;&gt;"",$H$97&gt;0,$I$97="")</formula>
    </cfRule>
    <cfRule type="expression" dxfId="5" priority="1808">
      <formula>AND($L$89,$D$97&lt;&gt;"",H97&gt;0,I97&gt;=0)</formula>
    </cfRule>
  </conditionalFormatting>
  <conditionalFormatting sqref="J43">
    <cfRule type="expression" dxfId="4" priority="79">
      <formula>AND(NOT(L40),NOT(L41))</formula>
    </cfRule>
  </conditionalFormatting>
  <dataValidations xWindow="775" yWindow="806" count="7">
    <dataValidation operator="greaterThan" allowBlank="1" showInputMessage="1" showErrorMessage="1" errorTitle="Falsche Eingabe" promptTitle="Wiederholungen" prompt="Positive ganze Zahlen eingeben." sqref="I53" xr:uid="{00000000-0002-0000-0600-000000000000}"/>
    <dataValidation allowBlank="1" showInputMessage="1" showErrorMessage="1" error="keine Eingabe zulässig" promptTitle="Nebenkosten in Prozent" prompt="Positive Prozentzahl" sqref="I56" xr:uid="{00000000-0002-0000-0600-000001000000}"/>
    <dataValidation showInputMessage="1" showErrorMessage="1" errorTitle="Achtung!" error="Bitte Eingabe überprüfen!" promptTitle="Abweichung vom Mindestsatz" prompt="Positive Prozentzahl zwischen 0 und 100" sqref="I28" xr:uid="{00000000-0002-0000-0600-000002000000}"/>
    <dataValidation showInputMessage="1" showErrorMessage="1" errorTitle="Achtung!" error="Eingabe bitte überprüfen" promptTitle="Abweichung vom Mindestsatz" prompt="Positive Zahl zwischen 0 und 100" sqref="I33" xr:uid="{00000000-0002-0000-0600-000003000000}"/>
    <dataValidation allowBlank="1" showInputMessage="1" showErrorMessage="1" promptTitle="Abweichung vom Honorar nach HOAI" prompt="Positive Zahl zwischen 0 und 100" sqref="I40" xr:uid="{00000000-0002-0000-0600-000004000000}"/>
    <dataValidation allowBlank="1" showInputMessage="1" showErrorMessage="1" promptTitle="Abweichung vom Honorar nach HOAI" prompt="Positive Zahl zwischen 0 und 100_x000a_" sqref="I41" xr:uid="{00000000-0002-0000-0600-000005000000}"/>
    <dataValidation allowBlank="1" showInputMessage="1" showErrorMessage="1" promptTitle="Nebenkosten in EURO" prompt="Positive Zahl in EURO" sqref="I57"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4" max="10" man="1"/>
    <brk id="53" max="10" man="1"/>
    <brk id="69" max="10" man="1"/>
    <brk id="88" max="10" man="1"/>
  </rowBreaks>
  <ignoredErrors>
    <ignoredError sqref="B38 B9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55</xdr:row>
                    <xdr:rowOff>0</xdr:rowOff>
                  </from>
                  <to>
                    <xdr:col>3</xdr:col>
                    <xdr:colOff>0</xdr:colOff>
                    <xdr:row>56</xdr:row>
                    <xdr:rowOff>12700</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26</xdr:row>
                    <xdr:rowOff>0</xdr:rowOff>
                  </from>
                  <to>
                    <xdr:col>3</xdr:col>
                    <xdr:colOff>0</xdr:colOff>
                    <xdr:row>27</xdr:row>
                    <xdr:rowOff>12700</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31</xdr:row>
                    <xdr:rowOff>0</xdr:rowOff>
                  </from>
                  <to>
                    <xdr:col>3</xdr:col>
                    <xdr:colOff>0</xdr:colOff>
                    <xdr:row>32</xdr:row>
                    <xdr:rowOff>12700</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71</xdr:row>
                    <xdr:rowOff>0</xdr:rowOff>
                  </from>
                  <to>
                    <xdr:col>3</xdr:col>
                    <xdr:colOff>0</xdr:colOff>
                    <xdr:row>72</xdr:row>
                    <xdr:rowOff>12700</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72</xdr:row>
                    <xdr:rowOff>0</xdr:rowOff>
                  </from>
                  <to>
                    <xdr:col>3</xdr:col>
                    <xdr:colOff>0</xdr:colOff>
                    <xdr:row>73</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73</xdr:row>
                    <xdr:rowOff>0</xdr:rowOff>
                  </from>
                  <to>
                    <xdr:col>3</xdr:col>
                    <xdr:colOff>0</xdr:colOff>
                    <xdr:row>74</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60</xdr:row>
                    <xdr:rowOff>0</xdr:rowOff>
                  </from>
                  <to>
                    <xdr:col>4</xdr:col>
                    <xdr:colOff>0</xdr:colOff>
                    <xdr:row>61</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88</xdr:row>
                    <xdr:rowOff>0</xdr:rowOff>
                  </from>
                  <to>
                    <xdr:col>2</xdr:col>
                    <xdr:colOff>0</xdr:colOff>
                    <xdr:row>89</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54</xdr:row>
                    <xdr:rowOff>0</xdr:rowOff>
                  </from>
                  <to>
                    <xdr:col>3</xdr:col>
                    <xdr:colOff>0</xdr:colOff>
                    <xdr:row>55</xdr:row>
                    <xdr:rowOff>12700</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78</xdr:row>
                    <xdr:rowOff>0</xdr:rowOff>
                  </from>
                  <to>
                    <xdr:col>4</xdr:col>
                    <xdr:colOff>0</xdr:colOff>
                    <xdr:row>79</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77</xdr:row>
                    <xdr:rowOff>0</xdr:rowOff>
                  </from>
                  <to>
                    <xdr:col>4</xdr:col>
                    <xdr:colOff>0</xdr:colOff>
                    <xdr:row>78</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58</xdr:row>
                    <xdr:rowOff>0</xdr:rowOff>
                  </from>
                  <to>
                    <xdr:col>4</xdr:col>
                    <xdr:colOff>0</xdr:colOff>
                    <xdr:row>59</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56</xdr:row>
                    <xdr:rowOff>0</xdr:rowOff>
                  </from>
                  <to>
                    <xdr:col>3</xdr:col>
                    <xdr:colOff>0</xdr:colOff>
                    <xdr:row>57</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T37"/>
  <sheetViews>
    <sheetView showGridLines="0" topLeftCell="A7" zoomScaleNormal="100" zoomScaleSheetLayoutView="100" zoomScalePageLayoutView="50" workbookViewId="0">
      <selection activeCell="B10" sqref="B10"/>
    </sheetView>
  </sheetViews>
  <sheetFormatPr baseColWidth="10" defaultColWidth="0" defaultRowHeight="16.5" zeroHeight="1"/>
  <cols>
    <col min="1" max="1" width="2.7265625" style="346" customWidth="1"/>
    <col min="2" max="2" width="9.1796875" customWidth="1"/>
    <col min="3" max="3" width="22.26953125" customWidth="1"/>
    <col min="4" max="4" width="10.453125" customWidth="1"/>
    <col min="5" max="5" width="10.54296875" customWidth="1"/>
    <col min="6" max="6" width="15.1796875" customWidth="1"/>
    <col min="7" max="7" width="11.7265625" customWidth="1"/>
    <col min="8" max="8" width="3.1796875" customWidth="1"/>
    <col min="9" max="14" width="15.1796875" customWidth="1"/>
    <col min="15" max="15" width="2.7265625" customWidth="1"/>
    <col min="16" max="16384" width="11.453125" hidden="1"/>
  </cols>
  <sheetData>
    <row r="1" spans="1:20"/>
    <row r="2" spans="1:20" s="1" customFormat="1" ht="18" customHeight="1">
      <c r="A2" s="343"/>
      <c r="B2" s="876" t="str">
        <f>IF(Projektgrundlagen!B2="","",Projektgrundlagen!B2)</f>
        <v>Landschaftspflegerischer Begleitplan</v>
      </c>
      <c r="C2" s="876"/>
      <c r="D2" s="876"/>
      <c r="E2" s="876"/>
      <c r="F2" s="876"/>
      <c r="G2" s="876"/>
      <c r="H2" s="877"/>
      <c r="I2" s="290" t="str">
        <f>IF(Projektgrundlagen!F2="","",Projektgrundlagen!F2)</f>
        <v>VII.05.4-LBP</v>
      </c>
      <c r="J2" s="238" t="s">
        <v>124</v>
      </c>
      <c r="K2" s="238"/>
      <c r="L2" s="238"/>
      <c r="M2" s="347"/>
      <c r="N2" s="312"/>
      <c r="O2" s="878" t="s">
        <v>213</v>
      </c>
      <c r="R2" s="157" t="s">
        <v>111</v>
      </c>
    </row>
    <row r="3" spans="1:20" s="1" customFormat="1" ht="18">
      <c r="A3" s="343"/>
      <c r="B3" s="1019" t="s">
        <v>213</v>
      </c>
      <c r="C3" s="1019"/>
      <c r="D3" s="1019"/>
      <c r="E3" s="1019"/>
      <c r="F3" s="1019"/>
      <c r="G3" s="1019"/>
      <c r="H3" s="1020"/>
      <c r="I3" s="301" t="str">
        <f>IF(Projektgrundlagen!F3="","",Projektgrundlagen!F3)</f>
        <v>Vertragsnr.:</v>
      </c>
      <c r="J3" s="310" t="str">
        <f>IF(Projektgrundlagen!G3="","",Projektgrundlagen!G3)</f>
        <v/>
      </c>
      <c r="K3" s="297"/>
      <c r="L3" s="297"/>
      <c r="M3" s="313"/>
      <c r="N3" s="311"/>
      <c r="O3" s="878"/>
      <c r="R3" s="1" t="str">
        <f ca="1">MID(CELL("dateiname",A2),FIND("]",CELL("dateiname",A2))+1,255)</f>
        <v>F Honorarübersicht</v>
      </c>
    </row>
    <row r="4" spans="1:20" s="1" customFormat="1" ht="7.5" customHeight="1">
      <c r="A4" s="343"/>
      <c r="B4" s="285"/>
      <c r="C4" s="285"/>
      <c r="D4" s="285"/>
      <c r="E4" s="285"/>
      <c r="F4" s="285"/>
      <c r="G4" s="284"/>
      <c r="H4" s="284"/>
      <c r="I4" s="284"/>
      <c r="J4" s="296"/>
      <c r="K4" s="296"/>
      <c r="L4" s="286"/>
      <c r="M4" s="286"/>
      <c r="N4" s="292"/>
      <c r="O4" s="878"/>
    </row>
    <row r="5" spans="1:20" s="1" customFormat="1">
      <c r="A5" s="343"/>
      <c r="B5" s="880" t="str">
        <f>IF(Projektgrundlagen!B5="","",Projektgrundlagen!B5)</f>
        <v>Maßnahmennr:</v>
      </c>
      <c r="C5" s="881"/>
      <c r="D5" s="927" t="str">
        <f>IF(Projektgrundlagen!E5="","",Projektgrundlagen!E5)</f>
        <v/>
      </c>
      <c r="E5" s="927"/>
      <c r="F5" s="927"/>
      <c r="G5" s="927"/>
      <c r="H5" s="927"/>
      <c r="I5" s="293" t="str">
        <f>IF(Projektgrundlagen!F5="","",Projektgrundlagen!F5)</f>
        <v>Vergabenr.:</v>
      </c>
      <c r="J5" s="238" t="str">
        <f>IF(Projektgrundlagen!G5="","",Projektgrundlagen!G5)</f>
        <v/>
      </c>
      <c r="K5" s="314"/>
      <c r="L5" s="266"/>
      <c r="M5" s="265"/>
      <c r="N5" s="267"/>
      <c r="O5" s="878"/>
    </row>
    <row r="6" spans="1:20" s="1" customFormat="1">
      <c r="A6" s="343"/>
      <c r="B6" s="882" t="str">
        <f>IF(Projektgrundlagen!B6="","",Projektgrundlagen!B6)</f>
        <v>Bauherr:</v>
      </c>
      <c r="C6" s="883"/>
      <c r="D6" s="1056" t="str">
        <f>IF(Projektgrundlagen!E6="","",Projektgrundlagen!E6)</f>
        <v xml:space="preserve">Mittelfränkischen Eisenbahnbetriebs GmbH  </v>
      </c>
      <c r="E6" s="1056"/>
      <c r="F6" s="1056"/>
      <c r="G6" s="1056"/>
      <c r="H6" s="1056"/>
      <c r="I6" s="1056"/>
      <c r="J6" s="1056"/>
      <c r="K6" s="1056"/>
      <c r="L6" s="1056"/>
      <c r="M6" s="1056"/>
      <c r="N6" s="1057"/>
      <c r="O6" s="878"/>
    </row>
    <row r="7" spans="1:20" s="1" customFormat="1">
      <c r="A7" s="343"/>
      <c r="B7" s="884"/>
      <c r="C7" s="885"/>
      <c r="D7" s="1017" t="str">
        <f>IF(Projektgrundlagen!E7="","",Projektgrundlagen!E7)</f>
        <v>Reaktivierung der Bahnstrecke 5331 im Abschnitt Wilburgstetten - Dombühl für den SPNV</v>
      </c>
      <c r="E7" s="1017"/>
      <c r="F7" s="1017"/>
      <c r="G7" s="1017"/>
      <c r="H7" s="1017"/>
      <c r="I7" s="1017"/>
      <c r="J7" s="1017"/>
      <c r="K7" s="1017"/>
      <c r="L7" s="1017"/>
      <c r="M7" s="1017"/>
      <c r="N7" s="1018"/>
      <c r="O7" s="878"/>
      <c r="R7" s="1038" t="s">
        <v>78</v>
      </c>
      <c r="S7" s="1039"/>
      <c r="T7" s="1040"/>
    </row>
    <row r="8" spans="1:20" s="1" customFormat="1">
      <c r="A8" s="343"/>
      <c r="B8" s="851" t="s">
        <v>83</v>
      </c>
      <c r="C8" s="852"/>
      <c r="D8" s="1050" t="str">
        <f>IF(Projektgrundlagen!E8="","",Projektgrundlagen!E8)</f>
        <v/>
      </c>
      <c r="E8" s="1050"/>
      <c r="F8" s="1050"/>
      <c r="G8" s="1050"/>
      <c r="H8" s="1050"/>
      <c r="I8" s="1050"/>
      <c r="J8" s="1050"/>
      <c r="K8" s="1050"/>
      <c r="L8" s="1050"/>
      <c r="M8" s="1050"/>
      <c r="N8" s="1051"/>
      <c r="O8" s="878"/>
    </row>
    <row r="9" spans="1:20" s="1" customFormat="1" ht="16.5" customHeight="1">
      <c r="A9" s="343"/>
      <c r="B9" s="269"/>
      <c r="C9" s="288"/>
      <c r="D9" s="288"/>
      <c r="E9" s="288"/>
      <c r="F9" s="288"/>
      <c r="G9" s="288"/>
      <c r="H9" s="265"/>
      <c r="I9" s="265"/>
      <c r="J9" s="265"/>
      <c r="K9" s="265"/>
      <c r="L9" s="266"/>
      <c r="M9" s="265"/>
      <c r="N9" s="266"/>
      <c r="R9" s="130"/>
      <c r="S9" s="130"/>
      <c r="T9" s="130" t="s">
        <v>91</v>
      </c>
    </row>
    <row r="10" spans="1:20" s="1" customFormat="1" ht="30" customHeight="1">
      <c r="A10" s="346"/>
      <c r="B10" s="482" t="str">
        <f>"Honorarübersicht"</f>
        <v>Honorarübersicht</v>
      </c>
      <c r="C10" s="483"/>
      <c r="D10" s="483"/>
      <c r="E10" s="483"/>
      <c r="F10" s="483"/>
      <c r="G10" s="483"/>
      <c r="H10" s="483"/>
      <c r="I10" s="483"/>
      <c r="J10" s="483"/>
      <c r="K10" s="483"/>
      <c r="L10" s="483"/>
      <c r="M10" s="483"/>
      <c r="N10" s="483"/>
      <c r="O10"/>
      <c r="Q10" s="634"/>
      <c r="R10" s="131"/>
      <c r="S10" s="132"/>
      <c r="T10" s="133">
        <f>IF(AND('E Honorarberechnung'!O39,'E Honorarberechnung'!O40),"Minderung",IF(AND('E Honorarberechnung'!O39,'E Honorarberechnung'!O41),"Erhöhung",0))</f>
        <v>0</v>
      </c>
    </row>
    <row r="11" spans="1:20" s="1" customFormat="1" ht="9.65" customHeight="1">
      <c r="A11" s="346"/>
      <c r="B11" s="481"/>
      <c r="C11" s="366"/>
      <c r="D11" s="366"/>
      <c r="E11" s="366"/>
      <c r="F11" s="366"/>
      <c r="G11" s="366"/>
      <c r="H11" s="366"/>
      <c r="I11" s="366"/>
      <c r="J11" s="366"/>
      <c r="K11" s="366"/>
      <c r="L11" s="366"/>
      <c r="M11" s="366"/>
      <c r="N11" s="366"/>
      <c r="O11"/>
      <c r="R11" s="478"/>
      <c r="S11" s="479"/>
      <c r="T11" s="480"/>
    </row>
    <row r="12" spans="1:20" s="1" customFormat="1" ht="16.149999999999999" customHeight="1">
      <c r="A12" s="343"/>
      <c r="B12" s="148" t="s">
        <v>364</v>
      </c>
      <c r="C12" s="846" t="str">
        <f>IF('A Fläche'!I11,"nach Kostenrahmen",IF('A Fläche'!I12,'A Fläche'!D12,IF('A Fläche'!I13,'A Fläche'!D13,"")))</f>
        <v>nach Kostenschätzung</v>
      </c>
      <c r="D12" s="91"/>
      <c r="E12" s="44" t="s">
        <v>59</v>
      </c>
      <c r="F12" s="1041" t="s">
        <v>219</v>
      </c>
      <c r="G12" s="1042"/>
      <c r="H12" s="637">
        <f>'E Honorarberechnung'!I15</f>
        <v>2</v>
      </c>
      <c r="I12" s="49" t="str">
        <f>IF('E Honorarberechnung'!M14,"Basishonorar außerhalb der Honorartafel","Basishonorar der Honorartafel")</f>
        <v>Basishonorar der Honorartafel</v>
      </c>
      <c r="J12" s="91"/>
      <c r="K12" s="91"/>
      <c r="L12" s="48"/>
      <c r="M12" s="633" t="str">
        <f>IF(OR('E Honorarberechnung'!L27,'E Honorarberechnung'!L32),"mit Abweichung","ohne Abweichung")</f>
        <v>ohne Abweichung</v>
      </c>
      <c r="N12" s="44" t="s">
        <v>59</v>
      </c>
    </row>
    <row r="13" spans="1:20" s="1" customFormat="1" ht="15" customHeight="1">
      <c r="A13" s="343"/>
      <c r="B13" s="45" t="s">
        <v>630</v>
      </c>
      <c r="C13" s="92"/>
      <c r="D13" s="116" t="str">
        <f>IF('E Honorarberechnung'!M11,"Außerhalb Honorartafel!","")</f>
        <v/>
      </c>
      <c r="E13" s="836">
        <f>'E Honorarberechnung'!I14</f>
        <v>101.5</v>
      </c>
      <c r="F13" s="1043"/>
      <c r="G13" s="1044"/>
      <c r="H13" s="636"/>
      <c r="I13" s="45" t="s">
        <v>629</v>
      </c>
      <c r="J13" s="92"/>
      <c r="K13" s="92"/>
      <c r="L13" s="93"/>
      <c r="M13" s="92"/>
      <c r="N13" s="46">
        <f>'E Honorarberechnung'!J36</f>
        <v>34173.805</v>
      </c>
    </row>
    <row r="14" spans="1:20" s="1" customFormat="1" ht="29.25" customHeight="1">
      <c r="A14" s="343"/>
      <c r="B14" s="1048"/>
      <c r="C14" s="1049"/>
      <c r="D14" s="1045" t="s">
        <v>47</v>
      </c>
      <c r="E14" s="1046"/>
      <c r="F14" s="1046"/>
      <c r="G14" s="1046"/>
      <c r="H14" s="1047"/>
      <c r="I14" s="38" t="s">
        <v>48</v>
      </c>
      <c r="J14" s="38" t="s">
        <v>70</v>
      </c>
      <c r="K14" s="489" t="s">
        <v>49</v>
      </c>
      <c r="L14" s="1052" t="str">
        <f>'E Honorarberechnung'!D65</f>
        <v>Honorar Landschaftspflegerischer Begleitplan netto</v>
      </c>
      <c r="M14" s="47" t="s">
        <v>50</v>
      </c>
      <c r="N14" s="1052" t="str">
        <f>'E Honorarberechnung'!C68</f>
        <v>Honorar Landschaftspflegerischer Begleitplan brutto</v>
      </c>
    </row>
    <row r="15" spans="1:20" s="1" customFormat="1" ht="38.25" customHeight="1">
      <c r="A15" s="343"/>
      <c r="B15" s="1054" t="s">
        <v>218</v>
      </c>
      <c r="C15" s="1055"/>
      <c r="D15" s="2" t="s">
        <v>28</v>
      </c>
      <c r="E15" s="34" t="s">
        <v>51</v>
      </c>
      <c r="F15" s="34" t="str">
        <f>IF(R10&gt;0%,"Honorar für Wiederholung","Honorar")</f>
        <v>Honorar</v>
      </c>
      <c r="G15" s="1028" t="str">
        <f>IF(T10=0,"Keine Minderung bzw. Erhöhung",IF(T10="Minderung","Honorar gemindert (§ 7 HOAI)","Honorar erhöht (§ 7 HOAI)"))</f>
        <v>Keine Minderung bzw. Erhöhung</v>
      </c>
      <c r="H15" s="1029"/>
      <c r="I15" s="94" t="s">
        <v>52</v>
      </c>
      <c r="J15" s="681" t="s">
        <v>69</v>
      </c>
      <c r="K15" s="95"/>
      <c r="L15" s="1053"/>
      <c r="M15" s="73"/>
      <c r="N15" s="1053"/>
    </row>
    <row r="16" spans="1:20" s="1" customFormat="1" ht="12.75" customHeight="1">
      <c r="A16" s="343"/>
      <c r="B16" s="78"/>
      <c r="C16" s="36"/>
      <c r="D16" s="2" t="s">
        <v>152</v>
      </c>
      <c r="E16" s="2" t="s">
        <v>152</v>
      </c>
      <c r="F16" s="34" t="s">
        <v>59</v>
      </c>
      <c r="G16" s="1028" t="s">
        <v>59</v>
      </c>
      <c r="H16" s="1029"/>
      <c r="I16" s="34" t="s">
        <v>59</v>
      </c>
      <c r="J16" s="34" t="s">
        <v>59</v>
      </c>
      <c r="K16" s="72" t="s">
        <v>59</v>
      </c>
      <c r="L16" s="34" t="s">
        <v>59</v>
      </c>
      <c r="M16" s="34" t="s">
        <v>59</v>
      </c>
      <c r="N16" s="34" t="s">
        <v>59</v>
      </c>
    </row>
    <row r="17" spans="1:20" s="1" customFormat="1">
      <c r="A17" s="343"/>
      <c r="B17" s="830" t="str">
        <f>'StB-C1 Grundlstg mSt'!B16</f>
        <v>Grundleistungen für den LBP zur Entwurfsplanung</v>
      </c>
      <c r="C17" s="525"/>
      <c r="D17" s="831"/>
      <c r="E17" s="831"/>
      <c r="F17" s="831"/>
      <c r="G17" s="1030"/>
      <c r="H17" s="1031"/>
      <c r="I17" s="831"/>
      <c r="J17" s="831"/>
      <c r="K17" s="832"/>
      <c r="L17" s="831"/>
      <c r="M17" s="831"/>
      <c r="N17" s="833"/>
    </row>
    <row r="18" spans="1:20" s="1" customFormat="1">
      <c r="A18" s="343"/>
      <c r="B18" s="242" t="s">
        <v>169</v>
      </c>
      <c r="C18" s="243" t="s">
        <v>636</v>
      </c>
      <c r="D18" s="244">
        <f>'StB-C1 Grundlstg mSt'!I48+'StB-C2 Grundlstg oSt'!I46</f>
        <v>3</v>
      </c>
      <c r="E18" s="244">
        <f>'StB-C1 Grundlstg mSt'!J48+'StB-C2 Grundlstg oSt'!J46</f>
        <v>0</v>
      </c>
      <c r="F18" s="244">
        <f>IF('E Honorarberechnung'!$J$65=0,0,'E Honorarberechnung'!$J$36*E18/100)</f>
        <v>0</v>
      </c>
      <c r="G18" s="1026">
        <f>IF($T$10=0,0,IF($T$10="Minderung",F18*(1-'E Honorarberechnung'!$I$40/100),F18*(1+'E Honorarberechnung'!$I$41/100)))</f>
        <v>0</v>
      </c>
      <c r="H18" s="1027"/>
      <c r="I18" s="244"/>
      <c r="J18" s="244">
        <f>IF('E Honorarberechnung'!$O$55,G18+I18,0)</f>
        <v>0</v>
      </c>
      <c r="K18" s="487">
        <f>IF($J$31=0,0,IF(AND('E Honorarberechnung'!$O$55,'E Honorarberechnung'!$L$56,'E Honorarberechnung'!$O$56),'E Honorarberechnung'!$I$56*J18,IF(AND('E Honorarberechnung'!$O$55,'E Honorarberechnung'!$L$57,'E Honorarberechnung'!$O$57),'E Honorarberechnung'!$I$57/$J$31*J18,0)))</f>
        <v>0</v>
      </c>
      <c r="L18" s="244">
        <f>SUM(J18:K18)</f>
        <v>0</v>
      </c>
      <c r="M18" s="244">
        <f>+L18*'E Honorarberechnung'!$I$66</f>
        <v>0</v>
      </c>
      <c r="N18" s="245">
        <f>+L18+M18</f>
        <v>0</v>
      </c>
    </row>
    <row r="19" spans="1:20" s="1" customFormat="1">
      <c r="A19" s="343"/>
      <c r="B19" s="242" t="s">
        <v>195</v>
      </c>
      <c r="C19" s="243" t="s">
        <v>626</v>
      </c>
      <c r="D19" s="244">
        <f>'StB-C1 Grundlstg mSt'!I76+'StB-C2 Grundlstg oSt'!I74</f>
        <v>37</v>
      </c>
      <c r="E19" s="244">
        <f>'StB-C1 Grundlstg mSt'!J76+'StB-C2 Grundlstg oSt'!J74</f>
        <v>29</v>
      </c>
      <c r="F19" s="244">
        <f>IF('E Honorarberechnung'!$J$65=0,0,'E Honorarberechnung'!$J$36*E19/100)</f>
        <v>9910.4034499999998</v>
      </c>
      <c r="G19" s="1026">
        <f>IF($T$10=0,0,IF($T$10="Minderung",F19*(1-'E Honorarberechnung'!$I$40/100),F19*(1+'E Honorarberechnung'!$I$41/100)))</f>
        <v>0</v>
      </c>
      <c r="H19" s="1027"/>
      <c r="I19" s="244"/>
      <c r="J19" s="244">
        <f>IF('E Honorarberechnung'!$O$55,G19+I19,0)</f>
        <v>0</v>
      </c>
      <c r="K19" s="487">
        <f>IF($J$31=0,0,IF(AND('E Honorarberechnung'!$O$55,'E Honorarberechnung'!$L$56,'E Honorarberechnung'!$O$56),'E Honorarberechnung'!$I$56*J19,IF(AND('E Honorarberechnung'!$O$55,'E Honorarberechnung'!$L$57,'E Honorarberechnung'!$O$57),'E Honorarberechnung'!$I$57/$J$31*J19,0)))</f>
        <v>0</v>
      </c>
      <c r="L19" s="244">
        <f t="shared" ref="L19:L29" si="0">SUM(J19:K19)</f>
        <v>0</v>
      </c>
      <c r="M19" s="244">
        <f>+L19*'E Honorarberechnung'!$I$66</f>
        <v>0</v>
      </c>
      <c r="N19" s="245">
        <f t="shared" ref="N19:N29" si="1">+L19+M19</f>
        <v>0</v>
      </c>
    </row>
    <row r="20" spans="1:20" s="1" customFormat="1">
      <c r="A20" s="343"/>
      <c r="B20" s="242" t="s">
        <v>196</v>
      </c>
      <c r="C20" s="243" t="s">
        <v>627</v>
      </c>
      <c r="D20" s="244">
        <f>'StB-C1 Grundlstg mSt'!I120+'StB-C2 Grundlstg oSt'!I125</f>
        <v>50</v>
      </c>
      <c r="E20" s="244">
        <f>'StB-C1 Grundlstg mSt'!J120+'StB-C2 Grundlstg oSt'!J125</f>
        <v>50</v>
      </c>
      <c r="F20" s="244">
        <f>IF('E Honorarberechnung'!$J$65=0,0,'E Honorarberechnung'!$J$36*E20/100)</f>
        <v>17086.9025</v>
      </c>
      <c r="G20" s="1026">
        <f>IF($T$10=0,0,IF($T$10="Minderung",F20*(1-'E Honorarberechnung'!$I$40/100),F20*(1+'E Honorarberechnung'!$I$41/100)))</f>
        <v>0</v>
      </c>
      <c r="H20" s="1027"/>
      <c r="I20" s="244"/>
      <c r="J20" s="244">
        <f>IF('E Honorarberechnung'!$O$55,G20+I20,0)</f>
        <v>0</v>
      </c>
      <c r="K20" s="487">
        <f>IF($J$31=0,0,IF(AND('E Honorarberechnung'!$O$55,'E Honorarberechnung'!$L$56,'E Honorarberechnung'!$O$56),'E Honorarberechnung'!$I$56*J20,IF(AND('E Honorarberechnung'!$O$55,'E Honorarberechnung'!$L$57,'E Honorarberechnung'!$O$57),'E Honorarberechnung'!$I$57/$J$31*J20,0)))</f>
        <v>0</v>
      </c>
      <c r="L20" s="244">
        <f t="shared" si="0"/>
        <v>0</v>
      </c>
      <c r="M20" s="244">
        <f>+L20*'E Honorarberechnung'!$I$66</f>
        <v>0</v>
      </c>
      <c r="N20" s="245">
        <f t="shared" si="1"/>
        <v>0</v>
      </c>
    </row>
    <row r="21" spans="1:20" s="1" customFormat="1">
      <c r="A21" s="343"/>
      <c r="B21" s="242" t="s">
        <v>197</v>
      </c>
      <c r="C21" s="243" t="s">
        <v>628</v>
      </c>
      <c r="D21" s="244">
        <f>'StB-C1 Grundlstg mSt'!I135+'StB-C2 Grundlstg oSt'!I140</f>
        <v>10</v>
      </c>
      <c r="E21" s="244">
        <f>'StB-C1 Grundlstg mSt'!J135+'StB-C2 Grundlstg oSt'!J140</f>
        <v>10</v>
      </c>
      <c r="F21" s="244">
        <f>IF('E Honorarberechnung'!$J$65=0,0,'E Honorarberechnung'!$J$36*E21/100)</f>
        <v>3417.3804999999998</v>
      </c>
      <c r="G21" s="1026">
        <f>IF($T$10=0,0,IF($T$10="Minderung",F21*(1-'E Honorarberechnung'!$I$40/100),F21*(1+'E Honorarberechnung'!$I$41/100)))</f>
        <v>0</v>
      </c>
      <c r="H21" s="1027"/>
      <c r="I21" s="244"/>
      <c r="J21" s="244">
        <f>IF('E Honorarberechnung'!$O$55,G21+I21,0)</f>
        <v>0</v>
      </c>
      <c r="K21" s="487">
        <f>IF($J$31=0,0,IF(AND('E Honorarberechnung'!$O$55,'E Honorarberechnung'!$L$56,'E Honorarberechnung'!$O$56),'E Honorarberechnung'!$I$56*J21,IF(AND('E Honorarberechnung'!$O$55,'E Honorarberechnung'!$L$57,'E Honorarberechnung'!$O$57),'E Honorarberechnung'!$I$57/$J$31*J21,0)))</f>
        <v>0</v>
      </c>
      <c r="L21" s="244">
        <f t="shared" si="0"/>
        <v>0</v>
      </c>
      <c r="M21" s="244">
        <f>+L21*'E Honorarberechnung'!$I$66</f>
        <v>0</v>
      </c>
      <c r="N21" s="245">
        <f t="shared" si="1"/>
        <v>0</v>
      </c>
    </row>
    <row r="22" spans="1:20" s="1" customFormat="1">
      <c r="A22" s="343"/>
      <c r="B22" s="242" t="str">
        <f>'StB-C1 Grundlstg mSt'!B139</f>
        <v>Grundleistungen für den LBP zur Genehmigungsplanung</v>
      </c>
      <c r="C22" s="243"/>
      <c r="D22" s="244"/>
      <c r="E22" s="244"/>
      <c r="F22" s="244"/>
      <c r="G22" s="1026"/>
      <c r="H22" s="1027"/>
      <c r="I22" s="244"/>
      <c r="J22" s="244"/>
      <c r="K22" s="487"/>
      <c r="L22" s="244"/>
      <c r="M22" s="244"/>
      <c r="N22" s="245"/>
    </row>
    <row r="23" spans="1:20" s="1" customFormat="1">
      <c r="A23" s="343"/>
      <c r="B23" s="242" t="s">
        <v>196</v>
      </c>
      <c r="C23" s="243" t="s">
        <v>627</v>
      </c>
      <c r="D23" s="244">
        <f>'StB-C1 Grundlstg mSt'!I166</f>
        <v>0</v>
      </c>
      <c r="E23" s="244">
        <f>'StB-C1 Grundlstg mSt'!J166</f>
        <v>0</v>
      </c>
      <c r="F23" s="244">
        <f>IF('E Honorarberechnung'!$J$65=0,0,'E Honorarberechnung'!$J$36*E23/100)</f>
        <v>0</v>
      </c>
      <c r="G23" s="1026">
        <f>IF($T$10=0,0,IF($T$10="Minderung",F23*(1-'E Honorarberechnung'!$I$40/100),F23*(1+'E Honorarberechnung'!$I$41/100)))</f>
        <v>0</v>
      </c>
      <c r="H23" s="1027"/>
      <c r="I23" s="244"/>
      <c r="J23" s="244">
        <f>IF('E Honorarberechnung'!$O$55,G23+I23,0)</f>
        <v>0</v>
      </c>
      <c r="K23" s="487">
        <f>IF($J$31=0,0,IF(AND('E Honorarberechnung'!$O$55,'E Honorarberechnung'!$L$56,'E Honorarberechnung'!$O$56),'E Honorarberechnung'!$I$56*J23,IF(AND('E Honorarberechnung'!$O$55,'E Honorarberechnung'!$L$57,'E Honorarberechnung'!$O$57),'E Honorarberechnung'!$I$57/$J$31*J23,0)))</f>
        <v>0</v>
      </c>
      <c r="L23" s="244">
        <f t="shared" si="0"/>
        <v>0</v>
      </c>
      <c r="M23" s="244">
        <f>+L23*'E Honorarberechnung'!$I$66</f>
        <v>0</v>
      </c>
      <c r="N23" s="245">
        <f t="shared" si="1"/>
        <v>0</v>
      </c>
    </row>
    <row r="24" spans="1:20" s="1" customFormat="1">
      <c r="A24" s="343"/>
      <c r="B24" s="242" t="s">
        <v>197</v>
      </c>
      <c r="C24" s="243" t="s">
        <v>628</v>
      </c>
      <c r="D24" s="244">
        <f>'StB-C1 Grundlstg mSt'!I172</f>
        <v>0</v>
      </c>
      <c r="E24" s="244">
        <f>'StB-C1 Grundlstg mSt'!J172</f>
        <v>0</v>
      </c>
      <c r="F24" s="244">
        <f>IF('E Honorarberechnung'!$J$65=0,0,'E Honorarberechnung'!$J$36*E24/100)</f>
        <v>0</v>
      </c>
      <c r="G24" s="1026">
        <f>IF($T$10=0,0,IF($T$10="Minderung",F24*(1-'E Honorarberechnung'!$I$40/100),F24*(1+'E Honorarberechnung'!$I$41/100)))</f>
        <v>0</v>
      </c>
      <c r="H24" s="1027"/>
      <c r="I24" s="244"/>
      <c r="J24" s="244">
        <f>IF('E Honorarberechnung'!$O$55,G24+I24,0)</f>
        <v>0</v>
      </c>
      <c r="K24" s="487">
        <f>IF($J$31=0,0,IF(AND('E Honorarberechnung'!$O$55,'E Honorarberechnung'!$L$56,'E Honorarberechnung'!$O$56),'E Honorarberechnung'!$I$56*J24,IF(AND('E Honorarberechnung'!$O$55,'E Honorarberechnung'!$L$57,'E Honorarberechnung'!$O$57),'E Honorarberechnung'!$I$57/$J$31*J24,0)))</f>
        <v>0</v>
      </c>
      <c r="L24" s="244">
        <f t="shared" si="0"/>
        <v>0</v>
      </c>
      <c r="M24" s="244">
        <f>+L24*'E Honorarberechnung'!$I$66</f>
        <v>0</v>
      </c>
      <c r="N24" s="245">
        <f t="shared" si="1"/>
        <v>0</v>
      </c>
    </row>
    <row r="25" spans="1:20" s="1" customFormat="1">
      <c r="A25" s="343"/>
      <c r="B25" s="242" t="s">
        <v>48</v>
      </c>
      <c r="C25" s="243"/>
      <c r="D25" s="244"/>
      <c r="E25" s="244"/>
      <c r="F25" s="244"/>
      <c r="G25" s="1026"/>
      <c r="H25" s="1027"/>
      <c r="I25" s="244"/>
      <c r="J25" s="244"/>
      <c r="K25" s="487"/>
      <c r="L25" s="244"/>
      <c r="M25" s="244"/>
      <c r="N25" s="245"/>
    </row>
    <row r="26" spans="1:20" s="1" customFormat="1">
      <c r="A26" s="343"/>
      <c r="B26" s="243" t="s">
        <v>634</v>
      </c>
      <c r="C26" s="243"/>
      <c r="D26" s="834"/>
      <c r="E26" s="834"/>
      <c r="F26" s="834"/>
      <c r="G26" s="1032"/>
      <c r="H26" s="1033"/>
      <c r="I26" s="244">
        <f>IF('E Honorarberechnung'!Q77="",0,'E Honorarberechnung'!Q77)</f>
        <v>0</v>
      </c>
      <c r="J26" s="244">
        <f>IF('E Honorarberechnung'!$O$55,H26+I26,0)</f>
        <v>0</v>
      </c>
      <c r="K26" s="487">
        <f>IF($J$31=0,0,IF(AND('E Honorarberechnung'!$O$55,'E Honorarberechnung'!$L$56,'E Honorarberechnung'!$O$56),'E Honorarberechnung'!$I$56*J26,IF(AND('E Honorarberechnung'!$O$55,'E Honorarberechnung'!$L$57,'E Honorarberechnung'!$O$57),'E Honorarberechnung'!$I$57/$J$31*J26,0)))</f>
        <v>0</v>
      </c>
      <c r="L26" s="244">
        <f>SUM(J26:K26)</f>
        <v>0</v>
      </c>
      <c r="M26" s="244">
        <f>+L26*'E Honorarberechnung'!$I$66</f>
        <v>0</v>
      </c>
      <c r="N26" s="245">
        <f>+L26+M26</f>
        <v>0</v>
      </c>
      <c r="R26"/>
      <c r="S26"/>
      <c r="T26"/>
    </row>
    <row r="27" spans="1:20" s="1" customFormat="1">
      <c r="A27" s="343"/>
      <c r="B27" s="243" t="s">
        <v>635</v>
      </c>
      <c r="C27" s="243"/>
      <c r="D27" s="834"/>
      <c r="E27" s="834"/>
      <c r="F27" s="834"/>
      <c r="G27" s="1032"/>
      <c r="H27" s="1033"/>
      <c r="I27" s="244">
        <f>IF('E Honorarberechnung'!Q78="",0,'E Honorarberechnung'!Q78)</f>
        <v>0</v>
      </c>
      <c r="J27" s="244">
        <f>IF('E Honorarberechnung'!$O$55,H27+I27,0)</f>
        <v>0</v>
      </c>
      <c r="K27" s="487">
        <f>IF($J$31=0,0,IF(AND('E Honorarberechnung'!$O$55,'E Honorarberechnung'!$L$56,'E Honorarberechnung'!$O$56),'E Honorarberechnung'!$I$56*J27,IF(AND('E Honorarberechnung'!$O$55,'E Honorarberechnung'!$L$57,'E Honorarberechnung'!$O$57),'E Honorarberechnung'!$I$57/$J$31*J27,0)))</f>
        <v>0</v>
      </c>
      <c r="L27" s="244">
        <f t="shared" si="0"/>
        <v>0</v>
      </c>
      <c r="M27" s="244">
        <f>+L27*'E Honorarberechnung'!$I$66</f>
        <v>0</v>
      </c>
      <c r="N27" s="245">
        <f t="shared" si="1"/>
        <v>0</v>
      </c>
    </row>
    <row r="28" spans="1:20" s="1" customFormat="1">
      <c r="A28" s="343"/>
      <c r="B28" s="243" t="s">
        <v>631</v>
      </c>
      <c r="C28" s="243"/>
      <c r="D28" s="834"/>
      <c r="E28" s="834"/>
      <c r="F28" s="834"/>
      <c r="G28" s="1032"/>
      <c r="H28" s="1033"/>
      <c r="I28" s="244">
        <f>IF('E Honorarberechnung'!Q79="",0,'E Honorarberechnung'!Q79)</f>
        <v>0</v>
      </c>
      <c r="J28" s="244">
        <f>IF('E Honorarberechnung'!$O$55,H28+I28,0)</f>
        <v>0</v>
      </c>
      <c r="K28" s="487">
        <f>IF($J$31=0,0,IF(AND('E Honorarberechnung'!$O$55,'E Honorarberechnung'!$L$56,'E Honorarberechnung'!$O$56),'E Honorarberechnung'!$I$56*J28,IF(AND('E Honorarberechnung'!$O$55,'E Honorarberechnung'!$L$57,'E Honorarberechnung'!$O$57),'E Honorarberechnung'!$I$57/$J$31*J28,0)))</f>
        <v>0</v>
      </c>
      <c r="L28" s="244">
        <f t="shared" si="0"/>
        <v>0</v>
      </c>
      <c r="M28" s="244">
        <f>+L28*'E Honorarberechnung'!$I$66</f>
        <v>0</v>
      </c>
      <c r="N28" s="245">
        <f t="shared" si="1"/>
        <v>0</v>
      </c>
    </row>
    <row r="29" spans="1:20" s="1" customFormat="1">
      <c r="A29" s="343"/>
      <c r="B29" s="246" t="s">
        <v>632</v>
      </c>
      <c r="C29" s="246"/>
      <c r="D29" s="835"/>
      <c r="E29" s="835"/>
      <c r="F29" s="835"/>
      <c r="G29" s="1034"/>
      <c r="H29" s="1035"/>
      <c r="I29" s="247">
        <f>IF('E Honorarberechnung'!Q80="",0,'E Honorarberechnung'!Q80)</f>
        <v>0</v>
      </c>
      <c r="J29" s="247">
        <f>IF('E Honorarberechnung'!$O$55,H29+I29,0)</f>
        <v>0</v>
      </c>
      <c r="K29" s="488">
        <f>IF($J$31=0,0,IF(AND('E Honorarberechnung'!$O$55,'E Honorarberechnung'!$L$56,'E Honorarberechnung'!$O$56),'E Honorarberechnung'!$I$56*J29,IF(AND('E Honorarberechnung'!$O$55,'E Honorarberechnung'!$L$57,'E Honorarberechnung'!$O$57),'E Honorarberechnung'!$I$57/$J$31*J29,0)))</f>
        <v>0</v>
      </c>
      <c r="L29" s="247">
        <f t="shared" si="0"/>
        <v>0</v>
      </c>
      <c r="M29" s="247">
        <f>+L29*'E Honorarberechnung'!$I$66</f>
        <v>0</v>
      </c>
      <c r="N29" s="335">
        <f t="shared" si="1"/>
        <v>0</v>
      </c>
    </row>
    <row r="30" spans="1:20" s="111" customFormat="1" ht="17" thickBot="1">
      <c r="A30" s="399"/>
      <c r="B30" s="82"/>
      <c r="C30" s="82"/>
      <c r="D30" s="82"/>
      <c r="E30" s="82"/>
      <c r="F30" s="82"/>
      <c r="G30" s="82"/>
      <c r="H30" s="82"/>
      <c r="I30" s="82"/>
      <c r="J30" s="263"/>
      <c r="K30" s="107"/>
      <c r="L30" s="110"/>
    </row>
    <row r="31" spans="1:20" s="20" customFormat="1" ht="26.5" customHeight="1" thickBot="1">
      <c r="A31" s="345"/>
      <c r="B31" s="364" t="s">
        <v>44</v>
      </c>
      <c r="C31" s="611"/>
      <c r="D31" s="612">
        <f>SUM(D18:D29)</f>
        <v>100</v>
      </c>
      <c r="E31" s="612">
        <f>SUM(E18:E29)</f>
        <v>89</v>
      </c>
      <c r="F31" s="613">
        <f>SUM(F18:F29)</f>
        <v>30414.686450000001</v>
      </c>
      <c r="G31" s="1036">
        <f t="shared" ref="G31:N31" si="2">SUM(G18:G29)</f>
        <v>0</v>
      </c>
      <c r="H31" s="1037"/>
      <c r="I31" s="614">
        <f t="shared" si="2"/>
        <v>0</v>
      </c>
      <c r="J31" s="613">
        <f>SUM(J18:J29)</f>
        <v>0</v>
      </c>
      <c r="K31" s="614">
        <f t="shared" si="2"/>
        <v>0</v>
      </c>
      <c r="L31" s="614">
        <f t="shared" si="2"/>
        <v>0</v>
      </c>
      <c r="M31" s="615">
        <f t="shared" si="2"/>
        <v>0</v>
      </c>
      <c r="N31" s="563">
        <f t="shared" si="2"/>
        <v>0</v>
      </c>
    </row>
    <row r="32" spans="1:20" s="1" customFormat="1" ht="15" customHeight="1">
      <c r="A32" s="343"/>
      <c r="I32" s="10"/>
    </row>
    <row r="33"/>
    <row r="34"/>
    <row r="35"/>
    <row r="36"/>
    <row r="37"/>
  </sheetData>
  <sheetProtection sheet="1" formatRows="0"/>
  <mergeCells count="34">
    <mergeCell ref="B5:C5"/>
    <mergeCell ref="O2:O8"/>
    <mergeCell ref="B6:C6"/>
    <mergeCell ref="B7:C7"/>
    <mergeCell ref="B15:C15"/>
    <mergeCell ref="D5:H5"/>
    <mergeCell ref="D6:N6"/>
    <mergeCell ref="B2:H2"/>
    <mergeCell ref="B3:H3"/>
    <mergeCell ref="R7:T7"/>
    <mergeCell ref="F12:G13"/>
    <mergeCell ref="D14:H14"/>
    <mergeCell ref="B14:C14"/>
    <mergeCell ref="D8:N8"/>
    <mergeCell ref="D7:N7"/>
    <mergeCell ref="B8:C8"/>
    <mergeCell ref="L14:L15"/>
    <mergeCell ref="N14:N15"/>
    <mergeCell ref="G15:H15"/>
    <mergeCell ref="G26:H26"/>
    <mergeCell ref="G27:H27"/>
    <mergeCell ref="G28:H28"/>
    <mergeCell ref="G29:H29"/>
    <mergeCell ref="G31:H31"/>
    <mergeCell ref="G16:H16"/>
    <mergeCell ref="G17:H17"/>
    <mergeCell ref="G18:H18"/>
    <mergeCell ref="G19:H19"/>
    <mergeCell ref="G20:H20"/>
    <mergeCell ref="G21:H21"/>
    <mergeCell ref="G22:H22"/>
    <mergeCell ref="G23:H23"/>
    <mergeCell ref="G24:H24"/>
    <mergeCell ref="G25:H25"/>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3">
    <tabColor theme="0" tint="-0.14999847407452621"/>
    <pageSetUpPr fitToPage="1"/>
  </sheetPr>
  <dimension ref="A1:M54"/>
  <sheetViews>
    <sheetView showGridLines="0" topLeftCell="A10" zoomScaleNormal="100" zoomScaleSheetLayoutView="115" zoomScalePageLayoutView="50" workbookViewId="0">
      <selection activeCell="B11" sqref="B11"/>
    </sheetView>
  </sheetViews>
  <sheetFormatPr baseColWidth="10" defaultColWidth="0" defaultRowHeight="16.5" zeroHeight="1"/>
  <cols>
    <col min="1" max="1" width="5.7265625" style="346" customWidth="1"/>
    <col min="2" max="2" width="10.7265625" customWidth="1"/>
    <col min="3" max="3" width="12" customWidth="1"/>
    <col min="4" max="4" width="7.54296875" customWidth="1"/>
    <col min="5" max="5" width="19" customWidth="1"/>
    <col min="6" max="6" width="5.7265625" customWidth="1"/>
    <col min="7" max="7" width="19" customWidth="1"/>
    <col min="8" max="8" width="10.54296875" customWidth="1"/>
    <col min="9" max="9" width="19" customWidth="1"/>
    <col min="10" max="10" width="2.7265625" customWidth="1"/>
    <col min="11" max="11" width="11.453125" style="128" hidden="1" customWidth="1"/>
    <col min="12" max="16384" width="11.453125" hidden="1"/>
  </cols>
  <sheetData>
    <row r="1" spans="1:13"/>
    <row r="2" spans="1:13" s="1" customFormat="1" ht="18">
      <c r="A2" s="343"/>
      <c r="B2" s="876" t="str">
        <f>IF(Projektgrundlagen!B2="","",Projektgrundlagen!B2)</f>
        <v>Landschaftspflegerischer Begleitplan</v>
      </c>
      <c r="C2" s="876"/>
      <c r="D2" s="876"/>
      <c r="E2" s="876"/>
      <c r="F2" s="877"/>
      <c r="G2" s="290" t="str">
        <f>IF(Projektgrundlagen!F2="","",Projektgrundlagen!F2)</f>
        <v>VII.05.4-LBP</v>
      </c>
      <c r="H2" s="919" t="s">
        <v>136</v>
      </c>
      <c r="I2" s="920"/>
      <c r="J2" s="1074" t="s">
        <v>120</v>
      </c>
      <c r="K2" s="279" t="s">
        <v>39</v>
      </c>
      <c r="M2" s="157" t="s">
        <v>111</v>
      </c>
    </row>
    <row r="3" spans="1:13" s="1" customFormat="1" ht="15" customHeight="1">
      <c r="A3" s="343"/>
      <c r="B3" s="1019" t="s">
        <v>120</v>
      </c>
      <c r="C3" s="1019"/>
      <c r="D3" s="1019"/>
      <c r="E3" s="1019"/>
      <c r="F3" s="1020"/>
      <c r="G3" s="301" t="str">
        <f>IF(Projektgrundlagen!F3="","",Projektgrundlagen!F3)</f>
        <v>Vertragsnr.:</v>
      </c>
      <c r="H3" s="904" t="str">
        <f>IF(Projektgrundlagen!G3="","",Projektgrundlagen!G3)</f>
        <v/>
      </c>
      <c r="I3" s="905"/>
      <c r="J3" s="1074"/>
      <c r="K3" s="81"/>
      <c r="M3" s="1" t="str">
        <f ca="1">MID(CELL("dateiname",A2),FIND("]",CELL("dateiname",A2))+1,255)</f>
        <v>G Honorarabrechnung</v>
      </c>
    </row>
    <row r="4" spans="1:13" s="1" customFormat="1" ht="7.5" customHeight="1">
      <c r="A4" s="343"/>
      <c r="B4" s="285"/>
      <c r="C4" s="285"/>
      <c r="D4" s="285"/>
      <c r="E4" s="285"/>
      <c r="F4" s="285"/>
      <c r="G4" s="284"/>
      <c r="H4" s="284"/>
      <c r="I4" s="284"/>
      <c r="J4" s="1074"/>
      <c r="K4" s="81"/>
    </row>
    <row r="5" spans="1:13" s="1" customFormat="1" ht="15" customHeight="1">
      <c r="A5" s="343"/>
      <c r="B5" s="925" t="str">
        <f>IF(Projektgrundlagen!B5="","",Projektgrundlagen!B5)</f>
        <v>Maßnahmennr:</v>
      </c>
      <c r="C5" s="926"/>
      <c r="D5" s="927" t="str">
        <f>IF(Projektgrundlagen!E5="","",Projektgrundlagen!E5)</f>
        <v/>
      </c>
      <c r="E5" s="927"/>
      <c r="F5" s="927"/>
      <c r="G5" s="293" t="str">
        <f>IF(Projektgrundlagen!F5="","",Projektgrundlagen!F5)</f>
        <v>Vergabenr.:</v>
      </c>
      <c r="H5" s="921" t="str">
        <f>IF(Projektgrundlagen!G5="","",Projektgrundlagen!G5)</f>
        <v/>
      </c>
      <c r="I5" s="922"/>
      <c r="J5" s="1074"/>
      <c r="K5" s="81"/>
    </row>
    <row r="6" spans="1:13" s="1" customFormat="1" ht="15" customHeight="1">
      <c r="A6" s="343"/>
      <c r="B6" s="884" t="str">
        <f>IF(Projektgrundlagen!B6="","",Projektgrundlagen!B6)</f>
        <v>Bauherr:</v>
      </c>
      <c r="C6" s="885"/>
      <c r="D6" s="923" t="str">
        <f>IF(Projektgrundlagen!E6="","",Projektgrundlagen!E6)</f>
        <v xml:space="preserve">Mittelfränkischen Eisenbahnbetriebs GmbH  </v>
      </c>
      <c r="E6" s="923"/>
      <c r="F6" s="923"/>
      <c r="G6" s="923"/>
      <c r="H6" s="923"/>
      <c r="I6" s="924"/>
      <c r="J6" s="1074"/>
      <c r="K6" s="81"/>
    </row>
    <row r="7" spans="1:13" s="1" customFormat="1" ht="15" customHeight="1">
      <c r="A7" s="343"/>
      <c r="B7" s="884"/>
      <c r="C7" s="885"/>
      <c r="D7" s="908" t="str">
        <f>IF(Projektgrundlagen!E7="","",Projektgrundlagen!E7)</f>
        <v>Reaktivierung der Bahnstrecke 5331 im Abschnitt Wilburgstetten - Dombühl für den SPNV</v>
      </c>
      <c r="E7" s="908"/>
      <c r="F7" s="908"/>
      <c r="G7" s="908"/>
      <c r="H7" s="908"/>
      <c r="I7" s="909"/>
      <c r="J7" s="1074"/>
      <c r="K7" s="81"/>
    </row>
    <row r="8" spans="1:13" s="1" customFormat="1" ht="15" customHeight="1">
      <c r="A8" s="343"/>
      <c r="B8" s="851" t="s">
        <v>83</v>
      </c>
      <c r="C8" s="852"/>
      <c r="D8" s="904" t="str">
        <f>IF(Projektgrundlagen!E8="","",Projektgrundlagen!E8)</f>
        <v/>
      </c>
      <c r="E8" s="904"/>
      <c r="F8" s="904"/>
      <c r="G8" s="904"/>
      <c r="H8" s="904"/>
      <c r="I8" s="905"/>
      <c r="J8" s="1074"/>
      <c r="K8" s="81"/>
    </row>
    <row r="9" spans="1:13" s="1" customFormat="1">
      <c r="A9" s="343"/>
      <c r="B9" s="269"/>
      <c r="C9" s="288"/>
      <c r="D9" s="288"/>
      <c r="E9" s="288"/>
      <c r="F9" s="265"/>
      <c r="G9" s="266"/>
      <c r="H9" s="265"/>
      <c r="I9" s="266"/>
      <c r="K9" s="81"/>
    </row>
    <row r="10" spans="1:13" s="1" customFormat="1" ht="22.5" customHeight="1">
      <c r="A10" s="343"/>
      <c r="B10" s="585" t="str">
        <f>"Honorarabrechnung "</f>
        <v xml:space="preserve">Honorarabrechnung </v>
      </c>
      <c r="C10" s="483"/>
      <c r="D10" s="483"/>
      <c r="E10" s="483"/>
      <c r="F10" s="483"/>
      <c r="G10" s="483"/>
      <c r="H10" s="483"/>
      <c r="I10" s="483"/>
      <c r="K10" s="81"/>
    </row>
    <row r="11" spans="1:13" s="1" customFormat="1" ht="7.15" customHeight="1">
      <c r="A11" s="343"/>
      <c r="B11" s="481"/>
      <c r="C11" s="366"/>
      <c r="D11" s="366"/>
      <c r="E11" s="366"/>
      <c r="F11" s="366"/>
      <c r="G11" s="366"/>
      <c r="H11" s="366"/>
      <c r="I11" s="366"/>
      <c r="K11" s="81"/>
    </row>
    <row r="12" spans="1:13">
      <c r="B12" s="1089" t="s">
        <v>170</v>
      </c>
      <c r="C12" s="1090"/>
      <c r="D12" s="1061"/>
      <c r="E12" s="1061"/>
      <c r="F12" s="549"/>
      <c r="G12" s="549"/>
      <c r="H12" s="549"/>
      <c r="I12" s="550"/>
    </row>
    <row r="13" spans="1:13" s="1" customFormat="1" ht="15" customHeight="1">
      <c r="A13" s="343"/>
      <c r="B13" s="148" t="s">
        <v>58</v>
      </c>
      <c r="C13" s="91"/>
      <c r="D13" s="149"/>
      <c r="E13" s="44" t="s">
        <v>59</v>
      </c>
      <c r="F13" s="49" t="s">
        <v>149</v>
      </c>
      <c r="G13" s="48"/>
      <c r="H13" s="91"/>
      <c r="I13" s="44"/>
      <c r="K13" s="81"/>
    </row>
    <row r="14" spans="1:13" s="1" customFormat="1" ht="15" customHeight="1">
      <c r="A14" s="343"/>
      <c r="B14" s="45" t="s">
        <v>309</v>
      </c>
      <c r="C14" s="92"/>
      <c r="D14" s="551"/>
      <c r="E14" s="46">
        <f>'F Honorarübersicht'!E13:E13</f>
        <v>101.5</v>
      </c>
      <c r="F14" s="369" t="s">
        <v>262</v>
      </c>
      <c r="G14" s="639"/>
      <c r="H14" s="1091"/>
      <c r="I14" s="1092"/>
      <c r="K14" s="81"/>
    </row>
    <row r="15" spans="1:13" s="1" customFormat="1" ht="29.25" customHeight="1">
      <c r="A15" s="343"/>
      <c r="B15" s="1062" t="s">
        <v>252</v>
      </c>
      <c r="C15" s="1063"/>
      <c r="D15" s="1064"/>
      <c r="E15" s="588" t="s">
        <v>170</v>
      </c>
      <c r="F15" s="1085" t="s">
        <v>151</v>
      </c>
      <c r="G15" s="1086"/>
      <c r="H15" s="1085" t="s">
        <v>269</v>
      </c>
      <c r="I15" s="1086"/>
      <c r="K15" s="81"/>
    </row>
    <row r="16" spans="1:13" s="1" customFormat="1" ht="45" customHeight="1">
      <c r="A16" s="343"/>
      <c r="B16" s="552"/>
      <c r="C16" s="589"/>
      <c r="D16" s="594"/>
      <c r="E16" s="680" t="str">
        <f>'F Honorarübersicht'!N14</f>
        <v>Honorar Landschaftspflegerischer Begleitplan brutto</v>
      </c>
      <c r="F16" s="553" t="s">
        <v>150</v>
      </c>
      <c r="G16" s="554" t="str">
        <f>IF('E Honorarberechnung'!I66&lt;=0," anteiliges Honorar        netto"," anteiliges Honorar        brutto")</f>
        <v xml:space="preserve"> anteiliges Honorar        brutto</v>
      </c>
      <c r="H16" s="554" t="s">
        <v>220</v>
      </c>
      <c r="I16" s="554" t="str">
        <f>IF('E Honorarberechnung'!I66&lt;=0," geprüftes Honorar        netto"," geprüftes Honorar        brutto")</f>
        <v xml:space="preserve"> geprüftes Honorar        brutto</v>
      </c>
      <c r="K16" s="81"/>
    </row>
    <row r="17" spans="1:12" s="1" customFormat="1" ht="12.75" customHeight="1">
      <c r="A17" s="343"/>
      <c r="B17" s="555"/>
      <c r="C17" s="590"/>
      <c r="D17" s="593"/>
      <c r="E17" s="556" t="s">
        <v>59</v>
      </c>
      <c r="F17" s="554"/>
      <c r="G17" s="554" t="s">
        <v>59</v>
      </c>
      <c r="H17" s="554" t="s">
        <v>198</v>
      </c>
      <c r="I17" s="554" t="s">
        <v>59</v>
      </c>
      <c r="K17" s="81"/>
    </row>
    <row r="18" spans="1:12" s="1" customFormat="1" ht="15" customHeight="1">
      <c r="A18" s="343"/>
      <c r="B18" s="1071" t="str">
        <f>'F Honorarübersicht'!B17</f>
        <v>Grundleistungen für den LBP zur Entwurfsplanung</v>
      </c>
      <c r="C18" s="1072"/>
      <c r="D18" s="1072"/>
      <c r="E18" s="1073"/>
      <c r="F18" s="837"/>
      <c r="G18" s="837">
        <f>IF(K18,E18,"")</f>
        <v>0</v>
      </c>
      <c r="H18" s="838"/>
      <c r="I18" s="839" t="str">
        <f>IFERROR(IF(OR(H18="",H18&gt;100%,H18&lt;0),"",G18*H18),"")</f>
        <v/>
      </c>
      <c r="K18" s="81" t="b">
        <v>1</v>
      </c>
    </row>
    <row r="19" spans="1:12" s="1" customFormat="1" ht="15" customHeight="1">
      <c r="A19" s="343"/>
      <c r="B19" s="579" t="str">
        <f>'F Honorarübersicht'!B18</f>
        <v>Lph 1</v>
      </c>
      <c r="C19" s="591" t="str">
        <f>'F Honorarübersicht'!C18</f>
        <v>Klären der Aufgabenstellung</v>
      </c>
      <c r="D19" s="592"/>
      <c r="E19" s="580">
        <f>'F Honorarübersicht'!N18</f>
        <v>0</v>
      </c>
      <c r="F19" s="581"/>
      <c r="G19" s="582" t="str">
        <f>IF(K19,E19,"")</f>
        <v/>
      </c>
      <c r="H19" s="571"/>
      <c r="I19" s="572" t="str">
        <f>IFERROR(IF(OR(H19="",H19&gt;100%,H19&lt;0),"",G19*H19),"")</f>
        <v/>
      </c>
      <c r="K19" s="81" t="b">
        <v>0</v>
      </c>
    </row>
    <row r="20" spans="1:12" s="1" customFormat="1" ht="15" customHeight="1">
      <c r="A20" s="343"/>
      <c r="B20" s="579" t="str">
        <f>'F Honorarübersicht'!B19</f>
        <v>Lph 2</v>
      </c>
      <c r="C20" s="591" t="str">
        <f>'F Honorarübersicht'!C19</f>
        <v>Ermitteln und Bewerten</v>
      </c>
      <c r="D20" s="592"/>
      <c r="E20" s="580">
        <f>'F Honorarübersicht'!N19</f>
        <v>0</v>
      </c>
      <c r="F20" s="581"/>
      <c r="G20" s="582" t="str">
        <f t="shared" ref="G20:G30" si="0">IF(K20,E20,"")</f>
        <v/>
      </c>
      <c r="H20" s="571"/>
      <c r="I20" s="572" t="str">
        <f t="shared" ref="I20:I30" si="1">IFERROR(IF(OR(H20="",H20&gt;100%,H20&lt;0),"",G20*H20),"")</f>
        <v/>
      </c>
      <c r="K20" s="81" t="b">
        <v>0</v>
      </c>
    </row>
    <row r="21" spans="1:12" s="1" customFormat="1" ht="15" customHeight="1">
      <c r="A21" s="343"/>
      <c r="B21" s="579" t="str">
        <f>'F Honorarübersicht'!B20</f>
        <v>Lph 3</v>
      </c>
      <c r="C21" s="591" t="str">
        <f>'F Honorarübersicht'!C20</f>
        <v>Vorläufige Fassung</v>
      </c>
      <c r="D21" s="592"/>
      <c r="E21" s="580">
        <f>'F Honorarübersicht'!N20</f>
        <v>0</v>
      </c>
      <c r="F21" s="581"/>
      <c r="G21" s="582" t="str">
        <f t="shared" si="0"/>
        <v/>
      </c>
      <c r="H21" s="571"/>
      <c r="I21" s="572" t="str">
        <f t="shared" si="1"/>
        <v/>
      </c>
      <c r="K21" s="81" t="b">
        <v>0</v>
      </c>
    </row>
    <row r="22" spans="1:12" s="1" customFormat="1" ht="15" customHeight="1">
      <c r="A22" s="343"/>
      <c r="B22" s="579" t="str">
        <f>'F Honorarübersicht'!B21</f>
        <v>Lph 4</v>
      </c>
      <c r="C22" s="591" t="str">
        <f>'F Honorarübersicht'!C21</f>
        <v>Abgestimmte Fassung</v>
      </c>
      <c r="D22" s="592"/>
      <c r="E22" s="580">
        <f>'F Honorarübersicht'!N21</f>
        <v>0</v>
      </c>
      <c r="F22" s="581"/>
      <c r="G22" s="582" t="str">
        <f t="shared" si="0"/>
        <v/>
      </c>
      <c r="H22" s="571"/>
      <c r="I22" s="572" t="str">
        <f t="shared" si="1"/>
        <v/>
      </c>
      <c r="K22" s="81" t="b">
        <v>0</v>
      </c>
    </row>
    <row r="23" spans="1:12" s="1" customFormat="1" ht="15" customHeight="1">
      <c r="A23" s="343"/>
      <c r="B23" s="1058" t="str">
        <f>'F Honorarübersicht'!B22</f>
        <v>Grundleistungen für den LBP zur Genehmigungsplanung</v>
      </c>
      <c r="C23" s="1059"/>
      <c r="D23" s="1059"/>
      <c r="E23" s="1060"/>
      <c r="F23" s="582"/>
      <c r="G23" s="582"/>
      <c r="H23" s="840"/>
      <c r="I23" s="572"/>
      <c r="K23" s="81" t="b">
        <v>1</v>
      </c>
    </row>
    <row r="24" spans="1:12" s="1" customFormat="1" ht="15" customHeight="1">
      <c r="A24" s="343"/>
      <c r="B24" s="579" t="str">
        <f>'F Honorarübersicht'!B23</f>
        <v>Lph 3</v>
      </c>
      <c r="C24" s="591" t="str">
        <f>'F Honorarübersicht'!C23</f>
        <v>Vorläufige Fassung</v>
      </c>
      <c r="D24" s="592"/>
      <c r="E24" s="580">
        <f>'F Honorarübersicht'!N23</f>
        <v>0</v>
      </c>
      <c r="F24" s="581"/>
      <c r="G24" s="582" t="str">
        <f t="shared" si="0"/>
        <v/>
      </c>
      <c r="H24" s="571"/>
      <c r="I24" s="572" t="str">
        <f t="shared" si="1"/>
        <v/>
      </c>
      <c r="K24" s="81" t="b">
        <v>0</v>
      </c>
    </row>
    <row r="25" spans="1:12" s="1" customFormat="1" ht="15" customHeight="1">
      <c r="A25" s="343"/>
      <c r="B25" s="579" t="str">
        <f>'F Honorarübersicht'!B24</f>
        <v>Lph 4</v>
      </c>
      <c r="C25" s="591" t="str">
        <f>'F Honorarübersicht'!C24</f>
        <v>Abgestimmte Fassung</v>
      </c>
      <c r="D25" s="592"/>
      <c r="E25" s="580">
        <f>'F Honorarübersicht'!N24</f>
        <v>0</v>
      </c>
      <c r="F25" s="581"/>
      <c r="G25" s="582" t="str">
        <f t="shared" si="0"/>
        <v/>
      </c>
      <c r="H25" s="571"/>
      <c r="I25" s="572" t="str">
        <f t="shared" si="1"/>
        <v/>
      </c>
      <c r="K25" s="81" t="b">
        <v>0</v>
      </c>
    </row>
    <row r="26" spans="1:12" s="1" customFormat="1" ht="15" customHeight="1">
      <c r="A26" s="343"/>
      <c r="B26" s="1058" t="str">
        <f>'F Honorarübersicht'!B25</f>
        <v>Besondere Leistungen</v>
      </c>
      <c r="C26" s="1059"/>
      <c r="D26" s="1059"/>
      <c r="E26" s="1060"/>
      <c r="F26" s="582"/>
      <c r="G26" s="582"/>
      <c r="H26" s="840"/>
      <c r="I26" s="572"/>
      <c r="K26" s="81" t="b">
        <v>0</v>
      </c>
    </row>
    <row r="27" spans="1:12" s="1" customFormat="1" ht="15" customHeight="1">
      <c r="A27" s="343"/>
      <c r="B27" s="1065" t="str">
        <f>'F Honorarübersicht'!B26</f>
        <v xml:space="preserve">1. Lstg. zur Verfahrens- und Projektsteuerung 
</v>
      </c>
      <c r="C27" s="1066"/>
      <c r="D27" s="1067"/>
      <c r="E27" s="580">
        <f>'F Honorarübersicht'!N26</f>
        <v>0</v>
      </c>
      <c r="F27" s="581"/>
      <c r="G27" s="582" t="str">
        <f t="shared" si="0"/>
        <v/>
      </c>
      <c r="H27" s="571"/>
      <c r="I27" s="572" t="str">
        <f t="shared" si="1"/>
        <v/>
      </c>
      <c r="K27" s="81" t="b">
        <v>0</v>
      </c>
    </row>
    <row r="28" spans="1:12" s="1" customFormat="1" ht="15" customHeight="1">
      <c r="A28" s="343"/>
      <c r="B28" s="1065" t="str">
        <f>'F Honorarübersicht'!B27</f>
        <v xml:space="preserve">2. Lstg. zur Vorbereitung und inhaltl. Ergänz.
</v>
      </c>
      <c r="C28" s="1066"/>
      <c r="D28" s="1067"/>
      <c r="E28" s="580">
        <f>'F Honorarübersicht'!N27</f>
        <v>0</v>
      </c>
      <c r="F28" s="581"/>
      <c r="G28" s="582" t="str">
        <f t="shared" si="0"/>
        <v/>
      </c>
      <c r="H28" s="571"/>
      <c r="I28" s="572" t="str">
        <f t="shared" si="1"/>
        <v/>
      </c>
      <c r="K28" s="81" t="b">
        <v>0</v>
      </c>
      <c r="L28" s="151" t="s">
        <v>92</v>
      </c>
    </row>
    <row r="29" spans="1:12" s="1" customFormat="1" ht="15" customHeight="1">
      <c r="A29" s="343"/>
      <c r="B29" s="1065" t="str">
        <f>'F Honorarübersicht'!B28</f>
        <v>3. Verfahrensbegleitende Lstg.</v>
      </c>
      <c r="C29" s="1066"/>
      <c r="D29" s="1067"/>
      <c r="E29" s="580">
        <f>'F Honorarübersicht'!N28</f>
        <v>0</v>
      </c>
      <c r="F29" s="581"/>
      <c r="G29" s="582" t="str">
        <f t="shared" ref="G29" si="2">IF(K29,E29,"")</f>
        <v/>
      </c>
      <c r="H29" s="571"/>
      <c r="I29" s="572" t="str">
        <f t="shared" ref="I29" si="3">IFERROR(IF(OR(H29="",H29&gt;100%,H29&lt;0),"",G29*H29),"")</f>
        <v/>
      </c>
      <c r="K29" s="81" t="b">
        <v>0</v>
      </c>
    </row>
    <row r="30" spans="1:12" s="1" customFormat="1" ht="15" customHeight="1">
      <c r="A30" s="343"/>
      <c r="B30" s="1068" t="str">
        <f>'F Honorarübersicht'!B29</f>
        <v>4. Weitere Besondere Lstg.</v>
      </c>
      <c r="C30" s="1069"/>
      <c r="D30" s="1070"/>
      <c r="E30" s="575">
        <f>'F Honorarübersicht'!N29</f>
        <v>0</v>
      </c>
      <c r="F30" s="583"/>
      <c r="G30" s="584" t="str">
        <f t="shared" si="0"/>
        <v/>
      </c>
      <c r="H30" s="574"/>
      <c r="I30" s="575" t="str">
        <f t="shared" si="1"/>
        <v/>
      </c>
      <c r="K30" s="81" t="b">
        <v>0</v>
      </c>
    </row>
    <row r="31" spans="1:12" ht="17" thickBot="1"/>
    <row r="32" spans="1:12" s="1" customFormat="1" ht="24.65" customHeight="1" thickBot="1">
      <c r="A32" s="343"/>
      <c r="B32" s="559" t="s">
        <v>225</v>
      </c>
      <c r="C32" s="560"/>
      <c r="D32" s="561"/>
      <c r="E32" s="562">
        <f>SUM(E19:E30)</f>
        <v>0</v>
      </c>
      <c r="F32" s="616"/>
      <c r="G32" s="617">
        <f>SUM(G19:G30)</f>
        <v>0</v>
      </c>
      <c r="H32" s="618"/>
      <c r="I32" s="619">
        <f>SUM(I19:I30)</f>
        <v>0</v>
      </c>
      <c r="K32" s="81"/>
    </row>
    <row r="33" spans="1:11"/>
    <row r="34" spans="1:11">
      <c r="B34" s="1089" t="s">
        <v>253</v>
      </c>
      <c r="C34" s="1090"/>
      <c r="D34" s="1061"/>
      <c r="E34" s="1061"/>
      <c r="F34" s="549"/>
      <c r="G34" s="549"/>
      <c r="H34" s="549"/>
      <c r="I34" s="550"/>
    </row>
    <row r="35" spans="1:11" s="1" customFormat="1" ht="12.75" customHeight="1">
      <c r="A35" s="343"/>
      <c r="B35" s="555" t="s">
        <v>261</v>
      </c>
      <c r="C35" s="557" t="s">
        <v>171</v>
      </c>
      <c r="D35" s="558"/>
      <c r="E35" s="558"/>
      <c r="F35" s="556"/>
      <c r="G35" s="554" t="s">
        <v>59</v>
      </c>
      <c r="H35" s="554" t="s">
        <v>198</v>
      </c>
      <c r="I35" s="554" t="s">
        <v>59</v>
      </c>
      <c r="K35" s="81"/>
    </row>
    <row r="36" spans="1:11">
      <c r="B36" s="576" t="s">
        <v>255</v>
      </c>
      <c r="C36" s="1088" t="s">
        <v>242</v>
      </c>
      <c r="D36" s="1088"/>
      <c r="E36" s="1088"/>
      <c r="F36" s="1088"/>
      <c r="G36" s="567"/>
      <c r="H36" s="568"/>
      <c r="I36" s="569">
        <f t="shared" ref="I36:I41" si="4">IFERROR(G36*H36,"")</f>
        <v>0</v>
      </c>
    </row>
    <row r="37" spans="1:11">
      <c r="B37" s="577" t="s">
        <v>256</v>
      </c>
      <c r="C37" s="1075"/>
      <c r="D37" s="1075"/>
      <c r="E37" s="1075"/>
      <c r="F37" s="1075"/>
      <c r="G37" s="570"/>
      <c r="H37" s="571"/>
      <c r="I37" s="572">
        <f t="shared" si="4"/>
        <v>0</v>
      </c>
    </row>
    <row r="38" spans="1:11">
      <c r="B38" s="577" t="s">
        <v>257</v>
      </c>
      <c r="C38" s="1075"/>
      <c r="D38" s="1075"/>
      <c r="E38" s="1075"/>
      <c r="F38" s="1075"/>
      <c r="G38" s="570"/>
      <c r="H38" s="571"/>
      <c r="I38" s="572">
        <f t="shared" si="4"/>
        <v>0</v>
      </c>
    </row>
    <row r="39" spans="1:11">
      <c r="B39" s="577" t="s">
        <v>258</v>
      </c>
      <c r="C39" s="1075"/>
      <c r="D39" s="1075"/>
      <c r="E39" s="1075"/>
      <c r="F39" s="1075"/>
      <c r="G39" s="570"/>
      <c r="H39" s="571"/>
      <c r="I39" s="572">
        <f t="shared" si="4"/>
        <v>0</v>
      </c>
    </row>
    <row r="40" spans="1:11">
      <c r="B40" s="577" t="s">
        <v>259</v>
      </c>
      <c r="C40" s="1075"/>
      <c r="D40" s="1075"/>
      <c r="E40" s="1075"/>
      <c r="F40" s="1075"/>
      <c r="G40" s="570"/>
      <c r="H40" s="571"/>
      <c r="I40" s="572">
        <f t="shared" si="4"/>
        <v>0</v>
      </c>
    </row>
    <row r="41" spans="1:11">
      <c r="B41" s="578" t="s">
        <v>260</v>
      </c>
      <c r="C41" s="1087"/>
      <c r="D41" s="1087"/>
      <c r="E41" s="1087"/>
      <c r="F41" s="1087"/>
      <c r="G41" s="573"/>
      <c r="H41" s="574"/>
      <c r="I41" s="575">
        <f t="shared" si="4"/>
        <v>0</v>
      </c>
    </row>
    <row r="42" spans="1:11" ht="17" thickBot="1"/>
    <row r="43" spans="1:11" s="1" customFormat="1" ht="24" customHeight="1" thickBot="1">
      <c r="A43" s="343"/>
      <c r="B43" s="559" t="s">
        <v>254</v>
      </c>
      <c r="C43" s="755"/>
      <c r="D43" s="564"/>
      <c r="E43" s="565"/>
      <c r="F43" s="566">
        <f>SUM(F30:F41)</f>
        <v>0</v>
      </c>
      <c r="G43" s="562">
        <f>SUM(G36:G41)+G32</f>
        <v>0</v>
      </c>
      <c r="H43" s="620"/>
      <c r="I43" s="619">
        <f>SUM(I36:I41)+I32</f>
        <v>0</v>
      </c>
      <c r="K43" s="81"/>
    </row>
    <row r="44" spans="1:11">
      <c r="B44" s="248"/>
      <c r="C44" s="248"/>
      <c r="D44" s="248"/>
      <c r="E44" s="248"/>
      <c r="F44" s="248"/>
      <c r="G44" s="248"/>
      <c r="H44" s="248"/>
      <c r="I44" s="248"/>
    </row>
    <row r="45" spans="1:11">
      <c r="B45" s="756" t="s">
        <v>172</v>
      </c>
      <c r="C45" s="549"/>
      <c r="D45" s="549"/>
      <c r="E45" s="549"/>
      <c r="F45" s="549"/>
      <c r="G45" s="549"/>
      <c r="H45" s="549"/>
      <c r="I45" s="550"/>
    </row>
    <row r="46" spans="1:11">
      <c r="B46" s="757" t="s">
        <v>173</v>
      </c>
      <c r="C46" s="758"/>
      <c r="D46" s="1082"/>
      <c r="E46" s="1083"/>
      <c r="F46" s="1083"/>
      <c r="G46" s="1083"/>
      <c r="H46" s="1084"/>
      <c r="I46" s="336">
        <f>I43</f>
        <v>0</v>
      </c>
    </row>
    <row r="47" spans="1:11">
      <c r="B47" s="337" t="str">
        <f>IF(Projektgrundlagen!I26,"","Einbehalt:")</f>
        <v>Einbehalt:</v>
      </c>
      <c r="C47" s="338"/>
      <c r="D47" s="1075"/>
      <c r="E47" s="1075"/>
      <c r="F47" s="1075"/>
      <c r="G47" s="1075"/>
      <c r="H47" s="339"/>
      <c r="I47" s="537">
        <f>IF(Projektgrundlagen!I26,"",I46*-1*H47)</f>
        <v>0</v>
      </c>
    </row>
    <row r="48" spans="1:11">
      <c r="B48" s="759" t="s">
        <v>174</v>
      </c>
      <c r="C48" s="760"/>
      <c r="D48" s="1079" t="s">
        <v>306</v>
      </c>
      <c r="E48" s="1080"/>
      <c r="F48" s="1080"/>
      <c r="G48" s="1080"/>
      <c r="H48" s="1081"/>
      <c r="I48" s="635"/>
    </row>
    <row r="49" spans="2:9" ht="17" thickBot="1"/>
    <row r="50" spans="2:9" ht="26.5" customHeight="1" thickBot="1">
      <c r="B50" s="774" t="s">
        <v>226</v>
      </c>
      <c r="C50" s="775"/>
      <c r="D50" s="1076"/>
      <c r="E50" s="1077"/>
      <c r="F50" s="1077"/>
      <c r="G50" s="1078"/>
      <c r="H50" s="621"/>
      <c r="I50" s="484">
        <f>IF(Projektgrundlagen!I26,I46-I48,SUM(I46:I47)-I48)</f>
        <v>0</v>
      </c>
    </row>
    <row r="51" spans="2:9"/>
    <row r="52" spans="2:9"/>
    <row r="53" spans="2:9"/>
    <row r="54" spans="2:9"/>
  </sheetData>
  <sheetProtection sheet="1" formatRows="0"/>
  <mergeCells count="39">
    <mergeCell ref="J2:J8"/>
    <mergeCell ref="D47:G47"/>
    <mergeCell ref="D50:G50"/>
    <mergeCell ref="D48:H48"/>
    <mergeCell ref="D46:H46"/>
    <mergeCell ref="H15:I15"/>
    <mergeCell ref="C37:F37"/>
    <mergeCell ref="C38:F38"/>
    <mergeCell ref="C39:F39"/>
    <mergeCell ref="C40:F40"/>
    <mergeCell ref="C41:F41"/>
    <mergeCell ref="F15:G15"/>
    <mergeCell ref="C36:F36"/>
    <mergeCell ref="B12:C12"/>
    <mergeCell ref="B34:C34"/>
    <mergeCell ref="H14:I14"/>
    <mergeCell ref="H2:I2"/>
    <mergeCell ref="H3:I3"/>
    <mergeCell ref="B8:C8"/>
    <mergeCell ref="D8:I8"/>
    <mergeCell ref="B5:C5"/>
    <mergeCell ref="D5:F5"/>
    <mergeCell ref="H5:I5"/>
    <mergeCell ref="B2:F2"/>
    <mergeCell ref="B3:F3"/>
    <mergeCell ref="B26:E26"/>
    <mergeCell ref="D34:E34"/>
    <mergeCell ref="D12:E12"/>
    <mergeCell ref="B6:C6"/>
    <mergeCell ref="D6:I6"/>
    <mergeCell ref="B7:C7"/>
    <mergeCell ref="D7:I7"/>
    <mergeCell ref="B15:D15"/>
    <mergeCell ref="B27:D27"/>
    <mergeCell ref="B28:D28"/>
    <mergeCell ref="B29:D29"/>
    <mergeCell ref="B30:D30"/>
    <mergeCell ref="B23:E23"/>
    <mergeCell ref="B18:E18"/>
  </mergeCells>
  <conditionalFormatting sqref="H18:H30">
    <cfRule type="expression" dxfId="2" priority="1">
      <formula>OR(H18&gt;100%,H18&lt;0)</formula>
    </cfRule>
  </conditionalFormatting>
  <pageMargins left="0.39370078740157483" right="0.19685039370078741" top="0.39370078740157483" bottom="0.47244094488188981" header="0.31496062992125984" footer="0.31496062992125984"/>
  <pageSetup paperSize="9" scale="89" fitToHeight="0" orientation="portrait" r:id="rId1"/>
  <headerFooter scaleWithDoc="0">
    <oddFooter>&amp;L&amp;8©  VHF Bayern - Stand Oktober 2022&amp;R&amp;P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3 Fahrstreifen">
                <anchor moveWithCells="1">
                  <from>
                    <xdr:col>5</xdr:col>
                    <xdr:colOff>95250</xdr:colOff>
                    <xdr:row>18</xdr:row>
                    <xdr:rowOff>0</xdr:rowOff>
                  </from>
                  <to>
                    <xdr:col>5</xdr:col>
                    <xdr:colOff>304800</xdr:colOff>
                    <xdr:row>19</xdr:row>
                    <xdr:rowOff>0</xdr:rowOff>
                  </to>
                </anchor>
              </controlPr>
            </control>
          </mc:Choice>
        </mc:AlternateContent>
        <mc:AlternateContent xmlns:mc="http://schemas.openxmlformats.org/markup-compatibility/2006">
          <mc:Choice Requires="x14">
            <control shapeId="66562" r:id="rId5" name="Check Box 2">
              <controlPr defaultSize="0" autoFill="0" autoLine="0" autoPict="0" altText="3 Fahrstreifen">
                <anchor moveWithCells="1">
                  <from>
                    <xdr:col>5</xdr:col>
                    <xdr:colOff>95250</xdr:colOff>
                    <xdr:row>19</xdr:row>
                    <xdr:rowOff>0</xdr:rowOff>
                  </from>
                  <to>
                    <xdr:col>5</xdr:col>
                    <xdr:colOff>304800</xdr:colOff>
                    <xdr:row>20</xdr:row>
                    <xdr:rowOff>0</xdr:rowOff>
                  </to>
                </anchor>
              </controlPr>
            </control>
          </mc:Choice>
        </mc:AlternateContent>
        <mc:AlternateContent xmlns:mc="http://schemas.openxmlformats.org/markup-compatibility/2006">
          <mc:Choice Requires="x14">
            <control shapeId="66563" r:id="rId6" name="Check Box 3">
              <controlPr defaultSize="0" autoFill="0" autoLine="0" autoPict="0" altText="3 Fahrstreifen">
                <anchor moveWithCells="1">
                  <from>
                    <xdr:col>5</xdr:col>
                    <xdr:colOff>95250</xdr:colOff>
                    <xdr:row>20</xdr:row>
                    <xdr:rowOff>0</xdr:rowOff>
                  </from>
                  <to>
                    <xdr:col>5</xdr:col>
                    <xdr:colOff>304800</xdr:colOff>
                    <xdr:row>21</xdr:row>
                    <xdr:rowOff>0</xdr:rowOff>
                  </to>
                </anchor>
              </controlPr>
            </control>
          </mc:Choice>
        </mc:AlternateContent>
        <mc:AlternateContent xmlns:mc="http://schemas.openxmlformats.org/markup-compatibility/2006">
          <mc:Choice Requires="x14">
            <control shapeId="66564" r:id="rId7" name="Check Box 4">
              <controlPr defaultSize="0" autoFill="0" autoLine="0" autoPict="0" altText="3 Fahrstreifen">
                <anchor moveWithCells="1">
                  <from>
                    <xdr:col>5</xdr:col>
                    <xdr:colOff>95250</xdr:colOff>
                    <xdr:row>21</xdr:row>
                    <xdr:rowOff>0</xdr:rowOff>
                  </from>
                  <to>
                    <xdr:col>5</xdr:col>
                    <xdr:colOff>304800</xdr:colOff>
                    <xdr:row>22</xdr:row>
                    <xdr:rowOff>0</xdr:rowOff>
                  </to>
                </anchor>
              </controlPr>
            </control>
          </mc:Choice>
        </mc:AlternateContent>
        <mc:AlternateContent xmlns:mc="http://schemas.openxmlformats.org/markup-compatibility/2006">
          <mc:Choice Requires="x14">
            <control shapeId="66566" r:id="rId8" name="Check Box 6">
              <controlPr defaultSize="0" autoFill="0" autoLine="0" autoPict="0" altText="3 Fahrstreifen">
                <anchor moveWithCells="1">
                  <from>
                    <xdr:col>5</xdr:col>
                    <xdr:colOff>95250</xdr:colOff>
                    <xdr:row>23</xdr:row>
                    <xdr:rowOff>0</xdr:rowOff>
                  </from>
                  <to>
                    <xdr:col>5</xdr:col>
                    <xdr:colOff>323850</xdr:colOff>
                    <xdr:row>23</xdr:row>
                    <xdr:rowOff>165100</xdr:rowOff>
                  </to>
                </anchor>
              </controlPr>
            </control>
          </mc:Choice>
        </mc:AlternateContent>
        <mc:AlternateContent xmlns:mc="http://schemas.openxmlformats.org/markup-compatibility/2006">
          <mc:Choice Requires="x14">
            <control shapeId="66567" r:id="rId9" name="Check Box 7">
              <controlPr defaultSize="0" autoFill="0" autoLine="0" autoPict="0" altText="3 Fahrstreifen">
                <anchor moveWithCells="1">
                  <from>
                    <xdr:col>5</xdr:col>
                    <xdr:colOff>95250</xdr:colOff>
                    <xdr:row>24</xdr:row>
                    <xdr:rowOff>0</xdr:rowOff>
                  </from>
                  <to>
                    <xdr:col>5</xdr:col>
                    <xdr:colOff>304800</xdr:colOff>
                    <xdr:row>25</xdr:row>
                    <xdr:rowOff>0</xdr:rowOff>
                  </to>
                </anchor>
              </controlPr>
            </control>
          </mc:Choice>
        </mc:AlternateContent>
        <mc:AlternateContent xmlns:mc="http://schemas.openxmlformats.org/markup-compatibility/2006">
          <mc:Choice Requires="x14">
            <control shapeId="66569" r:id="rId10" name="Check Box 9">
              <controlPr defaultSize="0" autoFill="0" autoLine="0" autoPict="0" altText="3 Fahrstreifen">
                <anchor moveWithCells="1">
                  <from>
                    <xdr:col>5</xdr:col>
                    <xdr:colOff>95250</xdr:colOff>
                    <xdr:row>26</xdr:row>
                    <xdr:rowOff>0</xdr:rowOff>
                  </from>
                  <to>
                    <xdr:col>5</xdr:col>
                    <xdr:colOff>304800</xdr:colOff>
                    <xdr:row>27</xdr:row>
                    <xdr:rowOff>0</xdr:rowOff>
                  </to>
                </anchor>
              </controlPr>
            </control>
          </mc:Choice>
        </mc:AlternateContent>
        <mc:AlternateContent xmlns:mc="http://schemas.openxmlformats.org/markup-compatibility/2006">
          <mc:Choice Requires="x14">
            <control shapeId="66570" r:id="rId11" name="Check Box 10">
              <controlPr defaultSize="0" autoFill="0" autoLine="0" autoPict="0" altText="3 Fahrstreifen">
                <anchor moveWithCells="1">
                  <from>
                    <xdr:col>5</xdr:col>
                    <xdr:colOff>95250</xdr:colOff>
                    <xdr:row>27</xdr:row>
                    <xdr:rowOff>0</xdr:rowOff>
                  </from>
                  <to>
                    <xdr:col>5</xdr:col>
                    <xdr:colOff>304800</xdr:colOff>
                    <xdr:row>28</xdr:row>
                    <xdr:rowOff>0</xdr:rowOff>
                  </to>
                </anchor>
              </controlPr>
            </control>
          </mc:Choice>
        </mc:AlternateContent>
        <mc:AlternateContent xmlns:mc="http://schemas.openxmlformats.org/markup-compatibility/2006">
          <mc:Choice Requires="x14">
            <control shapeId="66571" r:id="rId12" name="Check Box 11">
              <controlPr defaultSize="0" autoFill="0" autoLine="0" autoPict="0" altText="3 Fahrstreifen">
                <anchor moveWithCells="1">
                  <from>
                    <xdr:col>5</xdr:col>
                    <xdr:colOff>95250</xdr:colOff>
                    <xdr:row>29</xdr:row>
                    <xdr:rowOff>0</xdr:rowOff>
                  </from>
                  <to>
                    <xdr:col>5</xdr:col>
                    <xdr:colOff>304800</xdr:colOff>
                    <xdr:row>30</xdr:row>
                    <xdr:rowOff>0</xdr:rowOff>
                  </to>
                </anchor>
              </controlPr>
            </control>
          </mc:Choice>
        </mc:AlternateContent>
        <mc:AlternateContent xmlns:mc="http://schemas.openxmlformats.org/markup-compatibility/2006">
          <mc:Choice Requires="x14">
            <control shapeId="66573" r:id="rId13" name="Check Box 13">
              <controlPr defaultSize="0" autoFill="0" autoLine="0" autoPict="0" altText="3 Fahrstreifen">
                <anchor moveWithCells="1">
                  <from>
                    <xdr:col>5</xdr:col>
                    <xdr:colOff>95250</xdr:colOff>
                    <xdr:row>28</xdr:row>
                    <xdr:rowOff>0</xdr:rowOff>
                  </from>
                  <to>
                    <xdr:col>5</xdr:col>
                    <xdr:colOff>304800</xdr:colOff>
                    <xdr:row>29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450562C-20B8-4BFE-B9FC-EC0970179BBD}">
            <xm:f>Projektgrundlagen!I26</xm:f>
            <x14:dxf>
              <font>
                <strike/>
                <color rgb="FFC00000"/>
              </font>
              <fill>
                <patternFill>
                  <bgColor theme="0"/>
                </patternFill>
              </fill>
            </x14:dxf>
          </x14:cfRule>
          <xm:sqref>D47:G47</xm:sqref>
        </x14:conditionalFormatting>
        <x14:conditionalFormatting xmlns:xm="http://schemas.microsoft.com/office/excel/2006/main">
          <x14:cfRule type="expression" priority="4" id="{88FE88C3-3101-40C9-A1D6-449DEE7A87B4}">
            <xm:f>Projektgrundlagen!I26</xm:f>
            <x14:dxf>
              <font>
                <strike/>
                <color rgb="FFC00000"/>
              </font>
              <fill>
                <patternFill>
                  <bgColor theme="0"/>
                </patternFill>
              </fill>
            </x14:dxf>
          </x14:cfRule>
          <xm:sqref>H47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26</vt:i4>
      </vt:variant>
    </vt:vector>
  </HeadingPairs>
  <TitlesOfParts>
    <vt:vector size="36" baseType="lpstr">
      <vt:lpstr>Projektgrundlagen</vt:lpstr>
      <vt:lpstr>A Fläche</vt:lpstr>
      <vt:lpstr>B HZone</vt:lpstr>
      <vt:lpstr>StB-C1 Grundlstg mSt</vt:lpstr>
      <vt:lpstr>StB-C2 Grundlstg oSt</vt:lpstr>
      <vt:lpstr>StB-D1 Besondere Lstg</vt:lpstr>
      <vt:lpstr>E Honorarberechnung</vt:lpstr>
      <vt:lpstr>F Honorarübersicht</vt:lpstr>
      <vt:lpstr>G Honorarabrechnung</vt:lpstr>
      <vt:lpstr>H §31 HOAI</vt:lpstr>
      <vt:lpstr>an_summe_angebot</vt:lpstr>
      <vt:lpstr>'A Fläche'!Druckbereich</vt:lpstr>
      <vt:lpstr>'B HZone'!Druckbereich</vt:lpstr>
      <vt:lpstr>'E Honorarberechnung'!Druckbereich</vt:lpstr>
      <vt:lpstr>'F Honorarübersicht'!Druckbereich</vt:lpstr>
      <vt:lpstr>'G Honorarabrechnung'!Druckbereich</vt:lpstr>
      <vt:lpstr>'H §31 HOAI'!Druckbereich</vt:lpstr>
      <vt:lpstr>Projektgrundlagen!Druckbereich</vt:lpstr>
      <vt:lpstr>'StB-C1 Grundlstg mSt'!Druckbereich</vt:lpstr>
      <vt:lpstr>'StB-C2 Grundlstg oSt'!Druckbereich</vt:lpstr>
      <vt:lpstr>'StB-D1 Besondere Lstg'!Druckbereich</vt:lpstr>
      <vt:lpstr>'E Honorarberechnung'!Drucktitel</vt:lpstr>
      <vt:lpstr>'F Honorarübersicht'!Drucktitel</vt:lpstr>
      <vt:lpstr>'G Honorarabrechnung'!Drucktitel</vt:lpstr>
      <vt:lpstr>'StB-C1 Grundlstg mSt'!Drucktitel</vt:lpstr>
      <vt:lpstr>'StB-C2 Grundlstg oSt'!Drucktitel</vt:lpstr>
      <vt:lpstr>'StB-D1 Besondere Lstg'!Drucktitel</vt:lpstr>
      <vt:lpstr>Link_A_anrKosten</vt:lpstr>
      <vt:lpstr>Link_B_HonorarZ</vt:lpstr>
      <vt:lpstr>Link_E_Honorar</vt:lpstr>
      <vt:lpstr>Link_F_Uebersicht</vt:lpstr>
      <vt:lpstr>Link_G_Abrechnung</vt:lpstr>
      <vt:lpstr>Link_H_HOAI</vt:lpstr>
      <vt:lpstr>Link_StBC1_Grundlstg</vt:lpstr>
      <vt:lpstr>'StB-C2 Grundlstg oSt'!Link_StBC2_Grundlstg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Daniela Sprenger</cp:lastModifiedBy>
  <cp:lastPrinted>2023-08-11T13:38:58Z</cp:lastPrinted>
  <dcterms:created xsi:type="dcterms:W3CDTF">2015-04-17T04:22:38Z</dcterms:created>
  <dcterms:modified xsi:type="dcterms:W3CDTF">2024-05-21T15:16:49Z</dcterms:modified>
</cp:coreProperties>
</file>