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AUAMTONLY!!!!\GLM\IGM_VIS\Ausschreibung_Reinigung\GS_Nossen\"/>
    </mc:Choice>
  </mc:AlternateContent>
  <xr:revisionPtr revIDLastSave="0" documentId="13_ncr:1_{C371DE34-B0B4-4211-9A98-B6091E55F758}" xr6:coauthVersionLast="47" xr6:coauthVersionMax="47" xr10:uidLastSave="{00000000-0000-0000-0000-000000000000}"/>
  <bookViews>
    <workbookView xWindow="28680" yWindow="-120" windowWidth="29040" windowHeight="15840" activeTab="6" xr2:uid="{0E00ED0A-8543-4AC4-82BC-8A63B5104EBB}"/>
  </bookViews>
  <sheets>
    <sheet name="Inhaltsverzeichnis" sheetId="2" r:id="rId1"/>
    <sheet name="Preisübersicht" sheetId="5" r:id="rId2"/>
    <sheet name="SVS GlasRG" sheetId="3" r:id="rId3"/>
    <sheet name="Kal Glas GS Nossen" sheetId="4" r:id="rId4"/>
    <sheet name="Kal Glas TH GS Nossen" sheetId="6" r:id="rId5"/>
    <sheet name="Kal Glas Hort GS Nossen" sheetId="7" r:id="rId6"/>
    <sheet name="Fensterliste" sheetId="8" r:id="rId7"/>
  </sheets>
  <definedNames>
    <definedName name="_xlnm._FilterDatabase" localSheetId="6" hidden="1">Fensterliste!$A$3:$J$79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  <c r="B2" i="6"/>
  <c r="B2" i="4"/>
  <c r="C2" i="3"/>
  <c r="B3" i="5"/>
  <c r="J79" i="8" l="1"/>
  <c r="H78" i="8"/>
  <c r="J78" i="8" s="1"/>
  <c r="J77" i="8"/>
  <c r="H77" i="8"/>
  <c r="J76" i="8"/>
  <c r="H76" i="8"/>
  <c r="J75" i="8"/>
  <c r="H75" i="8"/>
  <c r="J74" i="8"/>
  <c r="H74" i="8"/>
  <c r="J73" i="8"/>
  <c r="H73" i="8"/>
  <c r="J72" i="8"/>
  <c r="H72" i="8"/>
  <c r="J71" i="8"/>
  <c r="H71" i="8"/>
  <c r="J70" i="8"/>
  <c r="H70" i="8"/>
  <c r="J69" i="8"/>
  <c r="H69" i="8"/>
  <c r="J68" i="8"/>
  <c r="H68" i="8"/>
  <c r="J67" i="8"/>
  <c r="H67" i="8"/>
  <c r="J66" i="8"/>
  <c r="H66" i="8"/>
  <c r="J65" i="8"/>
  <c r="H65" i="8"/>
  <c r="J64" i="8"/>
  <c r="H64" i="8"/>
  <c r="J63" i="8"/>
  <c r="H63" i="8"/>
  <c r="J62" i="8"/>
  <c r="H62" i="8"/>
  <c r="J61" i="8"/>
  <c r="H61" i="8"/>
  <c r="J60" i="8"/>
  <c r="H60" i="8"/>
  <c r="J59" i="8"/>
  <c r="H59" i="8"/>
  <c r="J58" i="8"/>
  <c r="H58" i="8"/>
  <c r="J57" i="8"/>
  <c r="H57" i="8"/>
  <c r="J56" i="8"/>
  <c r="H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J48" i="8"/>
  <c r="H48" i="8"/>
  <c r="J47" i="8"/>
  <c r="H47" i="8"/>
  <c r="J46" i="8"/>
  <c r="H46" i="8"/>
  <c r="J45" i="8"/>
  <c r="H45" i="8"/>
  <c r="J44" i="8"/>
  <c r="H44" i="8"/>
  <c r="J43" i="8"/>
  <c r="H43" i="8"/>
  <c r="J42" i="8"/>
  <c r="H42" i="8"/>
  <c r="J41" i="8"/>
  <c r="H41" i="8"/>
  <c r="J40" i="8"/>
  <c r="H40" i="8"/>
  <c r="J39" i="8"/>
  <c r="H39" i="8"/>
  <c r="J38" i="8"/>
  <c r="H38" i="8"/>
  <c r="J37" i="8"/>
  <c r="H37" i="8"/>
  <c r="J36" i="8"/>
  <c r="H36" i="8"/>
  <c r="J35" i="8"/>
  <c r="H35" i="8"/>
  <c r="J34" i="8"/>
  <c r="H34" i="8"/>
  <c r="J33" i="8"/>
  <c r="H33" i="8"/>
  <c r="J32" i="8"/>
  <c r="H32" i="8"/>
  <c r="J31" i="8"/>
  <c r="H31" i="8"/>
  <c r="J30" i="8"/>
  <c r="H30" i="8"/>
  <c r="J29" i="8"/>
  <c r="H29" i="8"/>
  <c r="J28" i="8"/>
  <c r="H28" i="8"/>
  <c r="J27" i="8"/>
  <c r="H27" i="8"/>
  <c r="J26" i="8"/>
  <c r="H26" i="8"/>
  <c r="J25" i="8"/>
  <c r="H25" i="8"/>
  <c r="J24" i="8"/>
  <c r="H24" i="8"/>
  <c r="J23" i="8"/>
  <c r="H23" i="8"/>
  <c r="J22" i="8"/>
  <c r="H22" i="8"/>
  <c r="J21" i="8"/>
  <c r="H21" i="8"/>
  <c r="J20" i="8"/>
  <c r="H20" i="8"/>
  <c r="J19" i="8"/>
  <c r="H19" i="8"/>
  <c r="J18" i="8"/>
  <c r="H18" i="8"/>
  <c r="J17" i="8"/>
  <c r="H17" i="8"/>
  <c r="J16" i="8"/>
  <c r="H16" i="8"/>
  <c r="J15" i="8"/>
  <c r="H15" i="8"/>
  <c r="J14" i="8"/>
  <c r="H14" i="8"/>
  <c r="J13" i="8"/>
  <c r="H13" i="8"/>
  <c r="J12" i="8"/>
  <c r="H12" i="8"/>
  <c r="J11" i="8"/>
  <c r="H11" i="8"/>
  <c r="J10" i="8"/>
  <c r="H10" i="8"/>
  <c r="J9" i="8"/>
  <c r="H9" i="8"/>
  <c r="J8" i="8"/>
  <c r="H8" i="8"/>
  <c r="J7" i="8"/>
  <c r="H7" i="8"/>
  <c r="J6" i="8"/>
  <c r="H6" i="8"/>
  <c r="J5" i="8"/>
  <c r="H5" i="8"/>
  <c r="J4" i="8"/>
  <c r="H4" i="8"/>
  <c r="E6" i="5"/>
  <c r="E7" i="5"/>
  <c r="E8" i="5"/>
  <c r="D6" i="5"/>
  <c r="D7" i="5"/>
  <c r="D8" i="5"/>
  <c r="E9" i="5"/>
  <c r="D9" i="5"/>
  <c r="C9" i="5"/>
  <c r="C8" i="5"/>
  <c r="C7" i="5"/>
  <c r="C6" i="5"/>
  <c r="I6" i="7"/>
  <c r="J6" i="7"/>
  <c r="J7" i="7"/>
  <c r="I7" i="7"/>
  <c r="J5" i="7"/>
  <c r="J8" i="7" s="1"/>
  <c r="I5" i="7"/>
  <c r="J5" i="6"/>
  <c r="J6" i="6" s="1"/>
  <c r="I5" i="6"/>
  <c r="I6" i="6" s="1"/>
  <c r="I8" i="7" l="1"/>
  <c r="I6" i="4"/>
  <c r="J6" i="4"/>
  <c r="I5" i="4"/>
  <c r="J5" i="4"/>
  <c r="J7" i="4" s="1"/>
  <c r="K68" i="3"/>
  <c r="K67" i="3"/>
  <c r="K66" i="3"/>
  <c r="K65" i="3"/>
  <c r="K60" i="3"/>
  <c r="H60" i="3"/>
  <c r="F59" i="3"/>
  <c r="H57" i="3"/>
  <c r="K57" i="3" s="1"/>
  <c r="F57" i="3"/>
  <c r="K56" i="3"/>
  <c r="H56" i="3"/>
  <c r="K55" i="3"/>
  <c r="H55" i="3"/>
  <c r="K54" i="3"/>
  <c r="H54" i="3"/>
  <c r="K53" i="3"/>
  <c r="H53" i="3"/>
  <c r="K52" i="3"/>
  <c r="H52" i="3"/>
  <c r="K51" i="3"/>
  <c r="H51" i="3"/>
  <c r="K50" i="3"/>
  <c r="H50" i="3"/>
  <c r="K48" i="3"/>
  <c r="H48" i="3"/>
  <c r="K47" i="3"/>
  <c r="H47" i="3"/>
  <c r="K46" i="3"/>
  <c r="H46" i="3"/>
  <c r="F42" i="3"/>
  <c r="K41" i="3"/>
  <c r="H41" i="3"/>
  <c r="K40" i="3"/>
  <c r="H40" i="3"/>
  <c r="K39" i="3"/>
  <c r="H39" i="3"/>
  <c r="K38" i="3"/>
  <c r="H38" i="3"/>
  <c r="H42" i="3" s="1"/>
  <c r="K42" i="3" s="1"/>
  <c r="H34" i="3"/>
  <c r="K34" i="3" s="1"/>
  <c r="F34" i="3"/>
  <c r="K33" i="3"/>
  <c r="H33" i="3"/>
  <c r="K32" i="3"/>
  <c r="H32" i="3"/>
  <c r="K28" i="3"/>
  <c r="H28" i="3"/>
  <c r="K27" i="3"/>
  <c r="H27" i="3"/>
  <c r="K25" i="3"/>
  <c r="K23" i="3"/>
  <c r="K21" i="3"/>
  <c r="K19" i="3"/>
  <c r="K17" i="3"/>
  <c r="H14" i="3"/>
  <c r="K14" i="3" s="1"/>
  <c r="F14" i="3"/>
  <c r="D26" i="3" s="1"/>
  <c r="K13" i="3"/>
  <c r="H13" i="3"/>
  <c r="K12" i="3"/>
  <c r="H12" i="3"/>
  <c r="K11" i="3"/>
  <c r="H11" i="3"/>
  <c r="K10" i="3"/>
  <c r="H10" i="3"/>
  <c r="K9" i="3"/>
  <c r="H9" i="3"/>
  <c r="K5" i="3"/>
  <c r="I7" i="4" l="1"/>
  <c r="F26" i="3"/>
  <c r="H26" i="3" s="1"/>
  <c r="D18" i="3"/>
  <c r="D20" i="3"/>
  <c r="D22" i="3"/>
  <c r="D24" i="3"/>
  <c r="H59" i="3"/>
  <c r="K61" i="3"/>
  <c r="H61" i="3"/>
  <c r="H7" i="7" l="1"/>
  <c r="H6" i="7"/>
  <c r="H5" i="7"/>
  <c r="H5" i="6"/>
  <c r="H6" i="4"/>
  <c r="H5" i="4"/>
  <c r="A1" i="3"/>
  <c r="F61" i="3"/>
  <c r="F62" i="3" s="1"/>
  <c r="F18" i="3"/>
  <c r="H29" i="3"/>
  <c r="K29" i="3" s="1"/>
  <c r="H24" i="3"/>
  <c r="F24" i="3"/>
  <c r="F20" i="3"/>
  <c r="H20" i="3" s="1"/>
  <c r="H22" i="3"/>
  <c r="F22" i="3"/>
  <c r="F29" i="3" l="1"/>
  <c r="H18" i="3"/>
</calcChain>
</file>

<file path=xl/sharedStrings.xml><?xml version="1.0" encoding="utf-8"?>
<sst xmlns="http://schemas.openxmlformats.org/spreadsheetml/2006/main" count="821" uniqueCount="276">
  <si>
    <t>Bieter</t>
  </si>
  <si>
    <t>(bitte ausfüllen)</t>
  </si>
  <si>
    <t>Firma:</t>
  </si>
  <si>
    <t>Straße:</t>
  </si>
  <si>
    <t>PLZ:</t>
  </si>
  <si>
    <t>Ort:</t>
  </si>
  <si>
    <t>Telefon:</t>
  </si>
  <si>
    <t>Fax:</t>
  </si>
  <si>
    <t>Ansprechpartner:</t>
  </si>
  <si>
    <t>E-Mailadresse:</t>
  </si>
  <si>
    <t>Internetadresse:</t>
  </si>
  <si>
    <t>Inhaltsverzeichnis</t>
  </si>
  <si>
    <t>Preisübersicht</t>
  </si>
  <si>
    <t>Zurück zum Inhaltsverzeichnis</t>
  </si>
  <si>
    <t>Bieter:</t>
  </si>
  <si>
    <t>1.00</t>
  </si>
  <si>
    <t>Produktiver Stundenlohn</t>
  </si>
  <si>
    <t>%</t>
  </si>
  <si>
    <t>€</t>
  </si>
  <si>
    <t>2.00</t>
  </si>
  <si>
    <t>Lohngebundene Kosten</t>
  </si>
  <si>
    <t>2.10</t>
  </si>
  <si>
    <t>Soziallöhne</t>
  </si>
  <si>
    <t>2.11</t>
  </si>
  <si>
    <t>Gesetzliche Feiertage</t>
  </si>
  <si>
    <t>2.12</t>
  </si>
  <si>
    <t>Urlaubsentgelt</t>
  </si>
  <si>
    <t>2.13</t>
  </si>
  <si>
    <t>Zusätzliches Urlaubsentgelt</t>
  </si>
  <si>
    <t>2.14</t>
  </si>
  <si>
    <t>Lohnfortzahlung im Krankheitsfall</t>
  </si>
  <si>
    <t>2.15</t>
  </si>
  <si>
    <t>Arbeitsfreistellung</t>
  </si>
  <si>
    <t>Zwischensumme Soziallöhne</t>
  </si>
  <si>
    <t>2.20</t>
  </si>
  <si>
    <t>Sozialversicherungsbeiträge auf Fertigungslohn und Soziallöhne (Arbeitgeberanteil)</t>
  </si>
  <si>
    <t>2.21</t>
  </si>
  <si>
    <r>
      <t>Krankenversicherung auf Produktivlohn</t>
    </r>
    <r>
      <rPr>
        <vertAlign val="superscript"/>
        <sz val="8"/>
        <rFont val="Tahoma"/>
        <family val="2"/>
      </rPr>
      <t>1</t>
    </r>
  </si>
  <si>
    <t>Krankenversicherung auf Soziallöhne</t>
  </si>
  <si>
    <t>2.22</t>
  </si>
  <si>
    <r>
      <t>Rentenversicherung auf Produktivlohn</t>
    </r>
    <r>
      <rPr>
        <vertAlign val="superscript"/>
        <sz val="8"/>
        <rFont val="Tahoma"/>
        <family val="2"/>
      </rPr>
      <t>2</t>
    </r>
  </si>
  <si>
    <t>Rentenversicherung auf Soziallöhne</t>
  </si>
  <si>
    <t>2.23</t>
  </si>
  <si>
    <r>
      <t>Arbeitslosenversicherung auf Produktivlohn</t>
    </r>
    <r>
      <rPr>
        <vertAlign val="superscript"/>
        <sz val="8"/>
        <rFont val="Tahoma"/>
        <family val="2"/>
      </rPr>
      <t>3</t>
    </r>
  </si>
  <si>
    <t>Arbeitslosenversicherung auf Soziallöhne</t>
  </si>
  <si>
    <t>2.24</t>
  </si>
  <si>
    <r>
      <t>Pflegeversicherung auf Produktivlohn</t>
    </r>
    <r>
      <rPr>
        <vertAlign val="superscript"/>
        <sz val="8"/>
        <rFont val="Tahoma"/>
        <family val="2"/>
      </rPr>
      <t>4</t>
    </r>
  </si>
  <si>
    <t>Pflegeversicherung auf Soziallöhne</t>
  </si>
  <si>
    <t>2.25</t>
  </si>
  <si>
    <r>
      <t>U2 Mutterschaftsaufwendungen auf Produktivlohn</t>
    </r>
    <r>
      <rPr>
        <vertAlign val="superscript"/>
        <sz val="8"/>
        <rFont val="Tahoma"/>
        <family val="2"/>
      </rPr>
      <t>5</t>
    </r>
  </si>
  <si>
    <t>U2 Mutterschaftsaufwendungen auf Soziallöhne</t>
  </si>
  <si>
    <t>2.30</t>
  </si>
  <si>
    <r>
      <t>Gesetzliche Unfallversicherung</t>
    </r>
    <r>
      <rPr>
        <vertAlign val="superscript"/>
        <sz val="8"/>
        <rFont val="Tahoma"/>
        <family val="2"/>
      </rPr>
      <t>6</t>
    </r>
  </si>
  <si>
    <t>2.31</t>
  </si>
  <si>
    <r>
      <t>Insolvenzgeldumlage</t>
    </r>
    <r>
      <rPr>
        <vertAlign val="superscript"/>
        <sz val="8"/>
        <rFont val="Tahoma"/>
        <family val="2"/>
      </rPr>
      <t>7</t>
    </r>
  </si>
  <si>
    <t>Zwischensumme Lohnkosten inkl. Sozialabgaben (Summe 2.10 - 2.31)</t>
  </si>
  <si>
    <t>Zusätzliche lohngebundene Kosten</t>
  </si>
  <si>
    <t>2.50</t>
  </si>
  <si>
    <t>Haftpflichtversicherung</t>
  </si>
  <si>
    <t>2.60</t>
  </si>
  <si>
    <t>Sonstige Personalkosten</t>
  </si>
  <si>
    <t>Summe lohngebundene Kosten (Summe 2.10 - 2.60)</t>
  </si>
  <si>
    <t>3.00</t>
  </si>
  <si>
    <t>Sonstige auftragsbezogene Kosten</t>
  </si>
  <si>
    <t>3.10</t>
  </si>
  <si>
    <t>Aufsichtslohn Vorarbeiter</t>
  </si>
  <si>
    <t>inkl. Soziale Folgekosten f. Aufsichtslohn</t>
  </si>
  <si>
    <t>3.20</t>
  </si>
  <si>
    <t>Fahrkostenzuschuss</t>
  </si>
  <si>
    <t>3.30</t>
  </si>
  <si>
    <t>Fertigungsmaterial; Maschinen, Geräte, AfA, etc.</t>
  </si>
  <si>
    <t>3.40</t>
  </si>
  <si>
    <t>Sondereinzelkosten</t>
  </si>
  <si>
    <t>Zwischensumme sonstige auftragsbezogene Kosten (Summe 3.10 - 3.40)</t>
  </si>
  <si>
    <t>4.00</t>
  </si>
  <si>
    <t>Unternehmensbezogene Kosten</t>
  </si>
  <si>
    <t>4.10</t>
  </si>
  <si>
    <t>Gehälter</t>
  </si>
  <si>
    <t>4.11</t>
  </si>
  <si>
    <t>Technische Angestellte, inkl. Lohnfolgekosten</t>
  </si>
  <si>
    <t>4.12</t>
  </si>
  <si>
    <t>Kaufmännische Angestellte, inkl. Lohnfolgekosten</t>
  </si>
  <si>
    <t>4.20</t>
  </si>
  <si>
    <t>Fuhrparkkosten</t>
  </si>
  <si>
    <t>4.30</t>
  </si>
  <si>
    <t>Fertigungshilfskosten</t>
  </si>
  <si>
    <t>4.31</t>
  </si>
  <si>
    <t>Löhne Hilfsdienste, inkl. Lohnfolgekosten</t>
  </si>
  <si>
    <t>4.32</t>
  </si>
  <si>
    <t>Sonstige Betriebskosten</t>
  </si>
  <si>
    <t>4.40</t>
  </si>
  <si>
    <t>Schwerbehindertenabgabe</t>
  </si>
  <si>
    <t>4.50</t>
  </si>
  <si>
    <t>Sonstige Verwaltungskosten</t>
  </si>
  <si>
    <t>4.60</t>
  </si>
  <si>
    <t>Betriebsratskosten</t>
  </si>
  <si>
    <t>4.70</t>
  </si>
  <si>
    <t>Sonstige Kosten (Verbandsbeiträge, Zertifizierung etc.)</t>
  </si>
  <si>
    <t>4.80</t>
  </si>
  <si>
    <t>Gewerbesteuer</t>
  </si>
  <si>
    <t>Zwischensumme unternehmensbezogene Kosten (Summe 4.10 - 4.80)</t>
  </si>
  <si>
    <t>5.00</t>
  </si>
  <si>
    <t>Selbstkosten (Summe 1.00 - 4.80)</t>
  </si>
  <si>
    <t>6.00</t>
  </si>
  <si>
    <t>Zuschlag für Wagnis + Gewinn auf Selbstkosten</t>
  </si>
  <si>
    <t>Stundenverrechnungssatz Normalstunde</t>
  </si>
  <si>
    <t>Kalkulationszuschlag (Pos 6 - Pos 1)</t>
  </si>
  <si>
    <t>Basisdaten</t>
  </si>
  <si>
    <t>Anzahl Tage</t>
  </si>
  <si>
    <t>durchschnittliche Urlaubstage</t>
  </si>
  <si>
    <t>durchschnittliche Krankheitstage</t>
  </si>
  <si>
    <t>bezahlte Freistellungen</t>
  </si>
  <si>
    <t>Feiertage</t>
  </si>
  <si>
    <t>Vorgaben</t>
  </si>
  <si>
    <t>2023
in %</t>
  </si>
  <si>
    <t>Bundesland</t>
  </si>
  <si>
    <t xml:space="preserve">Krankenversicherung (gesetzlicher Arbeitgeberanteil): </t>
  </si>
  <si>
    <t>Sachsen</t>
  </si>
  <si>
    <t xml:space="preserve">Rentenversicherung (gesetzlicher Arbeitgeberanteil): </t>
  </si>
  <si>
    <t xml:space="preserve">Arbeitslosenversicherung (gesetzlicher Arbeitgeberanteil): </t>
  </si>
  <si>
    <t xml:space="preserve">Pflegeversicherung (gesetzlicher Arbeitgeberanteil alle Bundesländer außer Sachsen: hier 0,5% Abzug): </t>
  </si>
  <si>
    <t>Diese Position wird von jeder Krankenkasse separat berechnet.</t>
  </si>
  <si>
    <t>Die gesetzliche Unfallversicherung richtet sich nach der Gefahrenklasse, die für den Betrieb gilt.</t>
  </si>
  <si>
    <t>Insolvenzgeldumlage (gesetzlicher Arbeitgeberanteil - trägt der Arbeitgeber allein):</t>
  </si>
  <si>
    <t>Kalkulation Glasreinigung</t>
  </si>
  <si>
    <t>Objekt</t>
  </si>
  <si>
    <t>Reinigungsart</t>
  </si>
  <si>
    <t>Reinigungs-turnus</t>
  </si>
  <si>
    <t>Glasfläche
(einseitig gemessen) (m²)</t>
  </si>
  <si>
    <t>Reinigungs-
tage/Jahr</t>
  </si>
  <si>
    <t>Steiger-kosten (€)</t>
  </si>
  <si>
    <t>Leistung (m²/h)</t>
  </si>
  <si>
    <t>SVS
 (€/h)</t>
  </si>
  <si>
    <t>Netto-Preis / Jahr (€)</t>
  </si>
  <si>
    <t>Reinigungs-stunden berechnet</t>
  </si>
  <si>
    <t>GlasRG 2 mR</t>
  </si>
  <si>
    <t>J1</t>
  </si>
  <si>
    <t>Im Preisblatt ist eine Eingabe von Steigerkosten/Kosten für Hubbühne zwingend. Wenn keine Steigerkosten/Kosten für Hubbühne anfallen, ist die Position mit 0 eindeutig zu kennzeichnen. Eine unterlassene Angabe führt gemäß § 13 Nr. 3 bzw. § 53 Abs. 7 VgV zum Ausschluss.</t>
  </si>
  <si>
    <t>Objektname</t>
  </si>
  <si>
    <t>Los</t>
  </si>
  <si>
    <t>Nettopreis</t>
  </si>
  <si>
    <t>MwSt.</t>
  </si>
  <si>
    <t>Bruttopreis</t>
  </si>
  <si>
    <t>SVS GlasRG</t>
  </si>
  <si>
    <t>Stundenverrechnungssatz GlasRG</t>
  </si>
  <si>
    <t>Kal Glas GS Nossen</t>
  </si>
  <si>
    <t>Kal Glas TH GS Nossen</t>
  </si>
  <si>
    <t>Kal Glas Hort GS Nossen</t>
  </si>
  <si>
    <t>Kalkulation Glasreinigung GS Nossen</t>
  </si>
  <si>
    <t>Kalkulation Glasreinigung TH GS Nossen</t>
  </si>
  <si>
    <t>Kalkulation Glasreinigung Hort GS Nossen</t>
  </si>
  <si>
    <t>Fenster GS Nossen</t>
  </si>
  <si>
    <t>Innenverglasung GS Nossen</t>
  </si>
  <si>
    <t>Fenster TH GS Nossen</t>
  </si>
  <si>
    <t>Glasfläche
(einseitig gemessen) (m²); Sonnenschutz (Stk)</t>
  </si>
  <si>
    <t>Sicht- und Sonnenschutz (Raffstores)</t>
  </si>
  <si>
    <t>Sonnenschutz</t>
  </si>
  <si>
    <t>Kalkulation des Stundenverrechnungssatzes Glasreinigung</t>
  </si>
  <si>
    <t>Fenster Hort GS Nossen</t>
  </si>
  <si>
    <t>Innenverglasung Hort GS Nossen</t>
  </si>
  <si>
    <t>Preiszusammenstellung Glasreinigung Los 2</t>
  </si>
  <si>
    <t>GS Nossen</t>
  </si>
  <si>
    <t>TH GS Nossen</t>
  </si>
  <si>
    <t>Hort GS Nossen</t>
  </si>
  <si>
    <t>Zusammenstellung der Preise für Glasreinigung (in Euro)</t>
  </si>
  <si>
    <t>Fensterliste Grundschule/Hort Nossen</t>
  </si>
  <si>
    <t>Ansicht</t>
  </si>
  <si>
    <t>Geschoß</t>
  </si>
  <si>
    <t>Nutzer</t>
  </si>
  <si>
    <t>Art</t>
  </si>
  <si>
    <t>Beschreibung</t>
  </si>
  <si>
    <t>Ausführung</t>
  </si>
  <si>
    <t>Maß in m</t>
  </si>
  <si>
    <t>Fläche m²</t>
  </si>
  <si>
    <t>Stück</t>
  </si>
  <si>
    <t>Gesamt m²</t>
  </si>
  <si>
    <t>Süd</t>
  </si>
  <si>
    <t>EG</t>
  </si>
  <si>
    <t>Hort</t>
  </si>
  <si>
    <t>Isolierfenster</t>
  </si>
  <si>
    <t xml:space="preserve">2flügl. </t>
  </si>
  <si>
    <t>2seitig</t>
  </si>
  <si>
    <t>1,71 x 1,76</t>
  </si>
  <si>
    <t>LA Tür</t>
  </si>
  <si>
    <t>0,80 x 1,50</t>
  </si>
  <si>
    <t>1OG</t>
  </si>
  <si>
    <t>3teilig. m. OL</t>
  </si>
  <si>
    <t>1,70 x 1,97</t>
  </si>
  <si>
    <t>1,83 x 1,77</t>
  </si>
  <si>
    <t>1flügl.</t>
  </si>
  <si>
    <t>1,83 x 0,60</t>
  </si>
  <si>
    <t>West</t>
  </si>
  <si>
    <t>1,23 x 1,78</t>
  </si>
  <si>
    <t>0,95 x 1,17</t>
  </si>
  <si>
    <t>1,23 x 1,55</t>
  </si>
  <si>
    <t>Ost</t>
  </si>
  <si>
    <t>Fluchttür</t>
  </si>
  <si>
    <t>1,35 x 2,69</t>
  </si>
  <si>
    <t>1,19 x 1,20</t>
  </si>
  <si>
    <t>1,35 x 2,01</t>
  </si>
  <si>
    <t>2OG</t>
  </si>
  <si>
    <t>0,50 x 0,96</t>
  </si>
  <si>
    <t>Nord</t>
  </si>
  <si>
    <t>1,82 x 1,68</t>
  </si>
  <si>
    <t>Eingangstürelement</t>
  </si>
  <si>
    <t>4,12 x 2,62</t>
  </si>
  <si>
    <t>Fenster 8teilig</t>
  </si>
  <si>
    <t>Glaswände</t>
  </si>
  <si>
    <t>BS Inntüren</t>
  </si>
  <si>
    <t>2,10 x2,69</t>
  </si>
  <si>
    <t>2,10 x2,92</t>
  </si>
  <si>
    <t>KG</t>
  </si>
  <si>
    <t>Schule</t>
  </si>
  <si>
    <t>SPF/ 4teilig</t>
  </si>
  <si>
    <t>1,17 x 1,39/1,51</t>
  </si>
  <si>
    <t>SPF m. OL/ 6teilig</t>
  </si>
  <si>
    <t>1,75 x 2,10/2,35</t>
  </si>
  <si>
    <t>1,80 x 2,10/2,36</t>
  </si>
  <si>
    <t>SPF m. OL/ 2x6teilig</t>
  </si>
  <si>
    <t>2,35 x 2,04/2,22</t>
  </si>
  <si>
    <t>FGL Tür/ 3teilig</t>
  </si>
  <si>
    <t>1,80 x 1,08</t>
  </si>
  <si>
    <t>2flügl.</t>
  </si>
  <si>
    <t>1,71 x 1,77</t>
  </si>
  <si>
    <t>1,76 x 2,15/2,38</t>
  </si>
  <si>
    <t>1,73 x 2,11/2,35</t>
  </si>
  <si>
    <t>2,35 x 2,04/2,23</t>
  </si>
  <si>
    <t>SPF TH/6teilig</t>
  </si>
  <si>
    <t>0,90x 1,74</t>
  </si>
  <si>
    <t>1,64 x 2,49</t>
  </si>
  <si>
    <t>1,64 x 2,35</t>
  </si>
  <si>
    <t>1,51 x 2,39</t>
  </si>
  <si>
    <t>2,33 x 4,52</t>
  </si>
  <si>
    <t>0,90 x 4,76</t>
  </si>
  <si>
    <t>SPF TH/4teilig</t>
  </si>
  <si>
    <t>0,90 x 1,20</t>
  </si>
  <si>
    <t>1,19 x 1,39/1,51</t>
  </si>
  <si>
    <t>1,40 x 1,74/1,93</t>
  </si>
  <si>
    <t>1,80 x 2,02/2,35</t>
  </si>
  <si>
    <t>1,55 x 2,04/2,26</t>
  </si>
  <si>
    <t>SPF m. OL/ 12teilig</t>
  </si>
  <si>
    <t>1,96 x 1,60/2,30</t>
  </si>
  <si>
    <t>1,77 x 2,11/2,35</t>
  </si>
  <si>
    <t>1,50 x 2,11/2,32</t>
  </si>
  <si>
    <t>1,96 x 1,53/2,34</t>
  </si>
  <si>
    <t>1,69 x 2,12/2,35</t>
  </si>
  <si>
    <t>1,55 x 2,12/2,35</t>
  </si>
  <si>
    <t>1,96 x 1,51/2,34</t>
  </si>
  <si>
    <t>1,41x 2,04/2,25</t>
  </si>
  <si>
    <t>1,35 x 1,41/1,57</t>
  </si>
  <si>
    <t>1,32 x 3,06/3,22</t>
  </si>
  <si>
    <t>1,38 x 2,04/2,23</t>
  </si>
  <si>
    <t>1,40 x 2,05/2,25</t>
  </si>
  <si>
    <t>1,35 x 2,04/2,25</t>
  </si>
  <si>
    <t>1,78 x 1,22</t>
  </si>
  <si>
    <t>1,76 x 2,35</t>
  </si>
  <si>
    <t>1,69 x 2,13/2,39</t>
  </si>
  <si>
    <t>1,40x 2,04/2,24</t>
  </si>
  <si>
    <t>FGL Tür/ 2teilig</t>
  </si>
  <si>
    <t>1,95 x 0,50</t>
  </si>
  <si>
    <t>1,40x 2,04/2,25</t>
  </si>
  <si>
    <t>2,32 x 4,52</t>
  </si>
  <si>
    <t>2,75 x3,75</t>
  </si>
  <si>
    <t>2,66 x 3,15/3,45</t>
  </si>
  <si>
    <t>3,00 x3,75</t>
  </si>
  <si>
    <t>2,77 x 3,15/3,45</t>
  </si>
  <si>
    <t>2,66 x 3,15/3,46</t>
  </si>
  <si>
    <t>TH</t>
  </si>
  <si>
    <t>1,14 x 0,82/0,92</t>
  </si>
  <si>
    <t>1,65 x 0,87/0,98</t>
  </si>
  <si>
    <t>2,04 x 2,27/3,06</t>
  </si>
  <si>
    <t>2,06 x 2,27/3,06</t>
  </si>
  <si>
    <t>Fensterliste</t>
  </si>
  <si>
    <t>Jahrespreis Glasreinigung</t>
  </si>
  <si>
    <t>GlasRG Jahrespreis in €</t>
  </si>
  <si>
    <t>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</si>
</sst>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8"/>
      <color rgb="FFFF000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8"/>
      <name val="Tahoma"/>
      <family val="2"/>
    </font>
    <font>
      <sz val="11"/>
      <color rgb="FF222222"/>
      <name val="Tahoma"/>
      <family val="2"/>
    </font>
    <font>
      <vertAlign val="superscript"/>
      <sz val="8"/>
      <name val="Tahoma"/>
      <family val="2"/>
    </font>
    <font>
      <i/>
      <sz val="8"/>
      <name val="Tahoma"/>
      <family val="2"/>
    </font>
    <font>
      <sz val="8"/>
      <color theme="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"/>
      <color rgb="FF0000FF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8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2" fontId="5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1" applyFont="1" applyAlignment="1" applyProtection="1"/>
    <xf numFmtId="0" fontId="6" fillId="0" borderId="0" xfId="0" applyFont="1" applyAlignment="1">
      <alignment vertical="center"/>
    </xf>
    <xf numFmtId="2" fontId="6" fillId="0" borderId="0" xfId="0" applyNumberFormat="1" applyFont="1"/>
    <xf numFmtId="2" fontId="8" fillId="0" borderId="0" xfId="0" applyNumberFormat="1" applyFont="1"/>
    <xf numFmtId="164" fontId="8" fillId="0" borderId="2" xfId="0" applyNumberFormat="1" applyFont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/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/>
    </xf>
    <xf numFmtId="164" fontId="6" fillId="4" borderId="2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/>
    <xf numFmtId="2" fontId="11" fillId="4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165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 applyProtection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0" borderId="5" xfId="0" applyNumberFormat="1" applyFont="1" applyBorder="1" applyAlignment="1">
      <alignment vertical="center" wrapText="1"/>
    </xf>
    <xf numFmtId="4" fontId="6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6" fillId="0" borderId="0" xfId="1" applyFont="1" applyAlignment="1" applyProtection="1">
      <alignment horizontal="left" vertical="center"/>
    </xf>
    <xf numFmtId="0" fontId="16" fillId="0" borderId="0" xfId="1" applyFont="1"/>
    <xf numFmtId="0" fontId="2" fillId="7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left"/>
    </xf>
    <xf numFmtId="2" fontId="8" fillId="3" borderId="0" xfId="0" applyNumberFormat="1" applyFont="1" applyFill="1" applyAlignment="1">
      <alignment horizontal="left"/>
    </xf>
    <xf numFmtId="2" fontId="8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Link" xfId="1" builtinId="8"/>
    <cellStyle name="Standard" xfId="0" builtinId="0"/>
    <cellStyle name="Standard 5" xfId="2" xr:uid="{F622EF2A-F24C-43E6-A3F2-21E533AE290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3817-FD36-4FAA-85FB-277F7CE50BC7}">
  <dimension ref="A1:B17"/>
  <sheetViews>
    <sheetView workbookViewId="0">
      <selection activeCell="C31" sqref="C31"/>
    </sheetView>
  </sheetViews>
  <sheetFormatPr baseColWidth="10" defaultRowHeight="15" x14ac:dyDescent="0.25"/>
  <cols>
    <col min="1" max="1" width="26.28515625" customWidth="1"/>
    <col min="2" max="2" width="52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/>
    </row>
    <row r="3" spans="1:2" x14ac:dyDescent="0.25">
      <c r="A3" s="2" t="s">
        <v>3</v>
      </c>
      <c r="B3" s="3"/>
    </row>
    <row r="4" spans="1:2" x14ac:dyDescent="0.25">
      <c r="A4" s="2" t="s">
        <v>4</v>
      </c>
      <c r="B4" s="3"/>
    </row>
    <row r="5" spans="1:2" x14ac:dyDescent="0.25">
      <c r="A5" s="2" t="s">
        <v>5</v>
      </c>
      <c r="B5" s="3"/>
    </row>
    <row r="6" spans="1:2" x14ac:dyDescent="0.25">
      <c r="A6" s="2" t="s">
        <v>6</v>
      </c>
      <c r="B6" s="3"/>
    </row>
    <row r="7" spans="1:2" x14ac:dyDescent="0.25">
      <c r="A7" s="2" t="s">
        <v>7</v>
      </c>
      <c r="B7" s="3"/>
    </row>
    <row r="8" spans="1:2" x14ac:dyDescent="0.25">
      <c r="A8" s="2" t="s">
        <v>8</v>
      </c>
      <c r="B8" s="3"/>
    </row>
    <row r="9" spans="1:2" x14ac:dyDescent="0.25">
      <c r="A9" s="2" t="s">
        <v>9</v>
      </c>
      <c r="B9" s="3"/>
    </row>
    <row r="10" spans="1:2" x14ac:dyDescent="0.25">
      <c r="A10" s="2" t="s">
        <v>10</v>
      </c>
      <c r="B10" s="3"/>
    </row>
    <row r="11" spans="1:2" x14ac:dyDescent="0.25">
      <c r="A11" s="1" t="s">
        <v>11</v>
      </c>
      <c r="B11" s="1" t="s">
        <v>275</v>
      </c>
    </row>
    <row r="12" spans="1:2" x14ac:dyDescent="0.25">
      <c r="A12" s="71" t="s">
        <v>12</v>
      </c>
      <c r="B12" s="71" t="s">
        <v>12</v>
      </c>
    </row>
    <row r="13" spans="1:2" x14ac:dyDescent="0.25">
      <c r="A13" s="71" t="s">
        <v>143</v>
      </c>
      <c r="B13" s="71" t="s">
        <v>144</v>
      </c>
    </row>
    <row r="14" spans="1:2" x14ac:dyDescent="0.25">
      <c r="A14" s="71" t="s">
        <v>145</v>
      </c>
      <c r="B14" s="71" t="s">
        <v>148</v>
      </c>
    </row>
    <row r="15" spans="1:2" x14ac:dyDescent="0.25">
      <c r="A15" s="71" t="s">
        <v>146</v>
      </c>
      <c r="B15" s="71" t="s">
        <v>149</v>
      </c>
    </row>
    <row r="16" spans="1:2" x14ac:dyDescent="0.25">
      <c r="A16" s="71" t="s">
        <v>147</v>
      </c>
      <c r="B16" s="71" t="s">
        <v>150</v>
      </c>
    </row>
    <row r="17" spans="1:2" x14ac:dyDescent="0.25">
      <c r="A17" s="72" t="s">
        <v>272</v>
      </c>
      <c r="B17" s="72" t="s">
        <v>272</v>
      </c>
    </row>
  </sheetData>
  <sheetProtection algorithmName="SHA-512" hashValue="omIV8KXbKznDGJ+wy0WTDgMefD2eM/pXSBVuTOZIYWWCo64TauBj79YLusMTuLmn6bX4+0f6llN8qStabnEubw==" saltValue="lHg3S+VIlz0nWms0G60QaA==" spinCount="100000" sheet="1" objects="1" scenarios="1"/>
  <protectedRanges>
    <protectedRange sqref="B2:B10" name="Bereich1"/>
  </protectedRanges>
  <hyperlinks>
    <hyperlink ref="A12" location="Preisübersicht!A1" display="Preisübersicht" xr:uid="{52BABD30-3841-418C-A259-4852C9B4BC91}"/>
    <hyperlink ref="A13" location="'SVS GlasRG'!A1" display="SVS GlasRG" xr:uid="{2951B272-0177-4477-877B-BBC6DFFD06B2}"/>
    <hyperlink ref="A14" location="'Kal Glas GS Nossen'!A1" display="Kal Glas GS Nossen" xr:uid="{BFBC1366-CCF8-4FD7-B9F4-35F46E3522BA}"/>
    <hyperlink ref="A15" location="'Kal Glas TH GS Nossen'!A1" display="Kal Glas TH GS Nossen" xr:uid="{DD10BB96-CF58-40CD-B24C-4E8960788F04}"/>
    <hyperlink ref="B12" location="Preisübersicht!A1" display="Preisübersicht" xr:uid="{AB07D3D7-0453-4837-B1F5-AC38AD22D7EC}"/>
    <hyperlink ref="B13" location="'SVS GlasRG'!A1" display="Stundenverrechnungssatz GlasRG" xr:uid="{CAFBFAF0-8A40-458C-A4EA-A3F1AE6FB0AF}"/>
    <hyperlink ref="B14" location="'Kal Glas GS Nossen'!A1" display="Kalkulation Glasreinigung GS Nossen" xr:uid="{CD87C8B2-91FC-4A87-AAEF-7127BA3F2156}"/>
    <hyperlink ref="B15" location="'Kal Glas TH GS Nossen'!A1" display="Kalkulation Glasreinigung TH GS Nossen" xr:uid="{BECFD797-2EB7-42E6-BAC2-36A37CAB8CD9}"/>
    <hyperlink ref="A16" location="'Kal Glas Hort GS Nossen'!A1" display="Kal Glas Hort GS Nossen" xr:uid="{A4DFFFF7-0B46-420D-9FD1-C14A925673EF}"/>
    <hyperlink ref="B16" location="'Kal Glas Hort GS Nossen'!A1" display="Kalkulation Glasreinigung Hort GS Nossen" xr:uid="{6539F862-C699-4D96-A1C5-09F458BAA284}"/>
    <hyperlink ref="A17" location="Fensterliste!A1" display="Fensterliste" xr:uid="{B93EB446-5247-453B-991E-54FE1CD5A933}"/>
    <hyperlink ref="B17" location="Fensterliste!A1" display="Fensterliste" xr:uid="{50FB1C43-E6B8-48A4-B8D7-4535630D2B9B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C6E6-64C1-4CB1-8F63-05E8EDCB9E44}">
  <dimension ref="A1:F9"/>
  <sheetViews>
    <sheetView workbookViewId="0">
      <selection activeCell="G12" sqref="G12"/>
    </sheetView>
  </sheetViews>
  <sheetFormatPr baseColWidth="10" defaultRowHeight="15" x14ac:dyDescent="0.25"/>
  <cols>
    <col min="1" max="1" width="44" bestFit="1" customWidth="1"/>
    <col min="2" max="2" width="14" customWidth="1"/>
    <col min="3" max="4" width="13.42578125" customWidth="1"/>
    <col min="5" max="5" width="13.7109375" customWidth="1"/>
  </cols>
  <sheetData>
    <row r="1" spans="1:6" x14ac:dyDescent="0.25">
      <c r="A1" s="54" t="s">
        <v>164</v>
      </c>
      <c r="B1" s="55"/>
      <c r="C1" s="55"/>
      <c r="D1" s="56" t="s">
        <v>13</v>
      </c>
      <c r="E1" s="55"/>
    </row>
    <row r="2" spans="1:6" x14ac:dyDescent="0.25">
      <c r="A2" s="54"/>
      <c r="B2" s="54"/>
      <c r="C2" s="54"/>
      <c r="D2" s="54"/>
      <c r="E2" s="54"/>
      <c r="F2" s="54"/>
    </row>
    <row r="3" spans="1:6" x14ac:dyDescent="0.25">
      <c r="A3" s="57" t="s">
        <v>14</v>
      </c>
      <c r="B3" s="1" t="str">
        <f>IF(Inhaltsverzeichnis!B2="", "",Inhaltsverzeichnis!B2)</f>
        <v/>
      </c>
      <c r="C3" s="54"/>
      <c r="D3" s="54"/>
      <c r="E3" s="54"/>
      <c r="F3" s="54"/>
    </row>
    <row r="4" spans="1:6" ht="27.75" customHeight="1" x14ac:dyDescent="0.25">
      <c r="A4" s="73" t="s">
        <v>160</v>
      </c>
      <c r="B4" s="74"/>
      <c r="C4" s="75" t="s">
        <v>274</v>
      </c>
      <c r="D4" s="75"/>
      <c r="E4" s="75"/>
      <c r="F4" s="59"/>
    </row>
    <row r="5" spans="1:6" x14ac:dyDescent="0.25">
      <c r="A5" s="58" t="s">
        <v>138</v>
      </c>
      <c r="B5" s="58" t="s">
        <v>139</v>
      </c>
      <c r="C5" s="58" t="s">
        <v>140</v>
      </c>
      <c r="D5" s="58" t="s">
        <v>141</v>
      </c>
      <c r="E5" s="58" t="s">
        <v>142</v>
      </c>
      <c r="F5" s="59"/>
    </row>
    <row r="6" spans="1:6" x14ac:dyDescent="0.25">
      <c r="A6" s="60" t="s">
        <v>161</v>
      </c>
      <c r="B6" s="61">
        <v>2</v>
      </c>
      <c r="C6" s="62">
        <f>'Kal Glas GS Nossen'!I7</f>
        <v>0</v>
      </c>
      <c r="D6" s="62">
        <f t="shared" ref="D6:D8" si="0">C6*0.19</f>
        <v>0</v>
      </c>
      <c r="E6" s="62">
        <f t="shared" ref="E6:E8" si="1">C6+D6</f>
        <v>0</v>
      </c>
      <c r="F6" s="54"/>
    </row>
    <row r="7" spans="1:6" x14ac:dyDescent="0.25">
      <c r="A7" s="60" t="s">
        <v>162</v>
      </c>
      <c r="B7" s="61">
        <v>2</v>
      </c>
      <c r="C7" s="62">
        <f>'Kal Glas TH GS Nossen'!I6</f>
        <v>0</v>
      </c>
      <c r="D7" s="62">
        <f t="shared" si="0"/>
        <v>0</v>
      </c>
      <c r="E7" s="62">
        <f t="shared" si="1"/>
        <v>0</v>
      </c>
      <c r="F7" s="54"/>
    </row>
    <row r="8" spans="1:6" x14ac:dyDescent="0.25">
      <c r="A8" s="60" t="s">
        <v>163</v>
      </c>
      <c r="B8" s="61">
        <v>2</v>
      </c>
      <c r="C8" s="62">
        <f>'Kal Glas Hort GS Nossen'!I8</f>
        <v>0</v>
      </c>
      <c r="D8" s="62">
        <f t="shared" si="0"/>
        <v>0</v>
      </c>
      <c r="E8" s="62">
        <f t="shared" si="1"/>
        <v>0</v>
      </c>
      <c r="F8" s="54"/>
    </row>
    <row r="9" spans="1:6" x14ac:dyDescent="0.25">
      <c r="A9" s="76" t="s">
        <v>273</v>
      </c>
      <c r="B9" s="76"/>
      <c r="C9" s="62">
        <f>SUM(C6:C8)</f>
        <v>0</v>
      </c>
      <c r="D9" s="62">
        <f>C9*0.19</f>
        <v>0</v>
      </c>
      <c r="E9" s="62">
        <f>C9+D9</f>
        <v>0</v>
      </c>
      <c r="F9" s="54"/>
    </row>
  </sheetData>
  <sheetProtection algorithmName="SHA-512" hashValue="8ycOeLqraiHe33b4KyzV9gspN2CuSOJeYiUPbqG4nniqDZYK1RFVQJT++WbbwLhGFVVs1peDHsLIXPSfo7bFVw==" saltValue="y/OxAFUE29fxQkO7uDnkHg==" spinCount="100000" sheet="1" objects="1" scenarios="1"/>
  <protectedRanges>
    <protectedRange algorithmName="SHA-512" hashValue="5kJH+2GPl+4F+w+IbgQg0oL8A00H2CduAbJMS2dkWIyJRbrd45Yq+ZWW7d6x6cBaKu4JnNgRbfM3NcHdSzAfnA==" saltValue="CD9FvtRPzme4vO1qUfGHPw==" spinCount="100000" sqref="G1:G9 D1:E1 A9 D2:F9 C1:C9 A1:B8" name="Bereich1"/>
  </protectedRanges>
  <mergeCells count="3">
    <mergeCell ref="A4:B4"/>
    <mergeCell ref="C4:E4"/>
    <mergeCell ref="A9:B9"/>
  </mergeCells>
  <hyperlinks>
    <hyperlink ref="D1" location="'Inhaltsverzeichnis'!$A$1" display="Zurück zum Inhaltsverzeichnis" xr:uid="{856FA21E-BB97-49CB-A233-821621224E51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28A3-9B10-4B44-A1A7-1B250E5CF1DE}">
  <dimension ref="A1:K79"/>
  <sheetViews>
    <sheetView workbookViewId="0">
      <selection activeCell="C2" sqref="C2"/>
    </sheetView>
  </sheetViews>
  <sheetFormatPr baseColWidth="10" defaultRowHeight="15" x14ac:dyDescent="0.25"/>
  <cols>
    <col min="1" max="1" width="10.140625" customWidth="1"/>
    <col min="2" max="2" width="3.140625" customWidth="1"/>
    <col min="3" max="3" width="47.5703125" customWidth="1"/>
    <col min="5" max="5" width="3.28515625" customWidth="1"/>
    <col min="7" max="7" width="3.42578125" customWidth="1"/>
    <col min="9" max="9" width="2.85546875" customWidth="1"/>
    <col min="10" max="10" width="1.42578125" customWidth="1"/>
  </cols>
  <sheetData>
    <row r="1" spans="1:11" x14ac:dyDescent="0.25">
      <c r="A1" s="4" t="str">
        <f ca="1">IF(H61&lt;&gt;"","","Bitte alle gelben Zellen ausfüllen. Nicht benötigte Positionen sind eindeutig mit einer 0 zu kennzeichnen!")</f>
        <v>Bitte alle gelben Zellen ausfüllen. Nicht benötigte Positionen sind eindeutig mit einer 0 zu kennzeichnen!</v>
      </c>
      <c r="B1" s="5"/>
      <c r="C1" s="5"/>
      <c r="D1" s="5"/>
      <c r="E1" s="5"/>
      <c r="F1" s="6" t="s">
        <v>13</v>
      </c>
      <c r="G1" s="5"/>
      <c r="H1" s="5"/>
      <c r="I1" s="5"/>
      <c r="J1" s="5"/>
    </row>
    <row r="2" spans="1:11" x14ac:dyDescent="0.25">
      <c r="A2" s="5" t="s">
        <v>14</v>
      </c>
      <c r="B2" s="5"/>
      <c r="C2" s="1" t="str">
        <f>IF(Inhaltsverzeichnis!B2="", "",Inhaltsverzeichnis!B2)</f>
        <v/>
      </c>
      <c r="D2" s="5"/>
      <c r="E2" s="5"/>
      <c r="F2" s="5"/>
      <c r="G2" s="5"/>
      <c r="H2" s="5"/>
      <c r="I2" s="5"/>
      <c r="J2" s="5"/>
      <c r="K2" s="7"/>
    </row>
    <row r="3" spans="1:11" x14ac:dyDescent="0.25">
      <c r="A3" s="81" t="s">
        <v>157</v>
      </c>
      <c r="B3" s="81"/>
      <c r="C3" s="81"/>
      <c r="D3" s="81"/>
      <c r="E3" s="81"/>
      <c r="F3" s="81"/>
      <c r="G3" s="81"/>
      <c r="H3" s="81"/>
      <c r="I3" s="81"/>
      <c r="J3" s="5"/>
      <c r="K3" s="7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5"/>
      <c r="K4" s="7"/>
    </row>
    <row r="5" spans="1:11" x14ac:dyDescent="0.25">
      <c r="A5" s="9" t="s">
        <v>15</v>
      </c>
      <c r="B5" s="9" t="s">
        <v>16</v>
      </c>
      <c r="C5" s="9"/>
      <c r="D5" s="9"/>
      <c r="E5" s="9"/>
      <c r="F5" s="10">
        <v>100</v>
      </c>
      <c r="G5" s="9" t="s">
        <v>17</v>
      </c>
      <c r="H5" s="11"/>
      <c r="I5" s="9" t="s">
        <v>18</v>
      </c>
      <c r="J5" s="5"/>
      <c r="K5" s="12" t="str">
        <f>IF(H5="","Bitte ausfüllen!","")</f>
        <v>Bitte ausfüllen!</v>
      </c>
    </row>
    <row r="6" spans="1:11" x14ac:dyDescent="0.25">
      <c r="A6" s="8"/>
      <c r="B6" s="8"/>
      <c r="C6" s="8"/>
      <c r="D6" s="8"/>
      <c r="E6" s="8"/>
      <c r="F6" s="13"/>
      <c r="G6" s="8"/>
      <c r="H6" s="13"/>
      <c r="I6" s="8"/>
      <c r="J6" s="5"/>
      <c r="K6" s="7"/>
    </row>
    <row r="7" spans="1:11" x14ac:dyDescent="0.25">
      <c r="A7" s="9" t="s">
        <v>19</v>
      </c>
      <c r="B7" s="9" t="s">
        <v>20</v>
      </c>
      <c r="C7" s="9"/>
      <c r="D7" s="9"/>
      <c r="E7" s="9"/>
      <c r="F7" s="14"/>
      <c r="G7" s="9"/>
      <c r="H7" s="14"/>
      <c r="I7" s="9"/>
      <c r="J7" s="5"/>
      <c r="K7" s="7"/>
    </row>
    <row r="8" spans="1:11" x14ac:dyDescent="0.25">
      <c r="A8" s="8" t="s">
        <v>21</v>
      </c>
      <c r="B8" s="8" t="s">
        <v>22</v>
      </c>
      <c r="C8" s="8"/>
      <c r="D8" s="8"/>
      <c r="E8" s="8"/>
      <c r="F8" s="14"/>
      <c r="G8" s="14"/>
      <c r="H8" s="14"/>
      <c r="I8" s="14"/>
      <c r="J8" s="5"/>
      <c r="K8" s="15"/>
    </row>
    <row r="9" spans="1:11" x14ac:dyDescent="0.25">
      <c r="A9" s="8" t="s">
        <v>23</v>
      </c>
      <c r="B9" s="8"/>
      <c r="C9" s="8" t="s">
        <v>24</v>
      </c>
      <c r="D9" s="8"/>
      <c r="E9" s="8"/>
      <c r="F9" s="16"/>
      <c r="G9" s="8" t="s">
        <v>17</v>
      </c>
      <c r="H9" s="17" t="str">
        <f>IF(F9="","",ROUND(F9/100*$H$5,2))</f>
        <v/>
      </c>
      <c r="I9" s="8" t="s">
        <v>18</v>
      </c>
      <c r="J9" s="5"/>
      <c r="K9" s="12" t="str">
        <f>IF(F9="","Bitte ausfüllen!","")</f>
        <v>Bitte ausfüllen!</v>
      </c>
    </row>
    <row r="10" spans="1:11" x14ac:dyDescent="0.25">
      <c r="A10" s="8" t="s">
        <v>25</v>
      </c>
      <c r="B10" s="8"/>
      <c r="C10" s="8" t="s">
        <v>26</v>
      </c>
      <c r="D10" s="8"/>
      <c r="E10" s="8"/>
      <c r="F10" s="16"/>
      <c r="G10" s="8" t="s">
        <v>17</v>
      </c>
      <c r="H10" s="17" t="str">
        <f>IF(F10="","",ROUND(F10/100*$H$5,2))</f>
        <v/>
      </c>
      <c r="I10" s="8" t="s">
        <v>18</v>
      </c>
      <c r="J10" s="5"/>
      <c r="K10" s="12" t="str">
        <f>IF(F10="","Bitte ausfüllen!","")</f>
        <v>Bitte ausfüllen!</v>
      </c>
    </row>
    <row r="11" spans="1:11" x14ac:dyDescent="0.25">
      <c r="A11" s="8" t="s">
        <v>27</v>
      </c>
      <c r="B11" s="8"/>
      <c r="C11" s="8" t="s">
        <v>28</v>
      </c>
      <c r="D11" s="8"/>
      <c r="E11" s="8"/>
      <c r="F11" s="16"/>
      <c r="G11" s="8" t="s">
        <v>17</v>
      </c>
      <c r="H11" s="17" t="str">
        <f>IF(F11="","",ROUND(F11/100*$H$5,2))</f>
        <v/>
      </c>
      <c r="I11" s="8" t="s">
        <v>18</v>
      </c>
      <c r="J11" s="5"/>
      <c r="K11" s="12" t="str">
        <f>IF(F11="","Bitte ausfüllen!","")</f>
        <v>Bitte ausfüllen!</v>
      </c>
    </row>
    <row r="12" spans="1:11" x14ac:dyDescent="0.25">
      <c r="A12" s="8" t="s">
        <v>29</v>
      </c>
      <c r="B12" s="8"/>
      <c r="C12" s="8" t="s">
        <v>30</v>
      </c>
      <c r="D12" s="8"/>
      <c r="E12" s="8"/>
      <c r="F12" s="16"/>
      <c r="G12" s="8" t="s">
        <v>17</v>
      </c>
      <c r="H12" s="17" t="str">
        <f>IF(F12="","",ROUND(F12/100*$H$5,2))</f>
        <v/>
      </c>
      <c r="I12" s="8" t="s">
        <v>18</v>
      </c>
      <c r="J12" s="5"/>
      <c r="K12" s="12" t="str">
        <f>IF(F12="","Bitte ausfüllen!","")</f>
        <v>Bitte ausfüllen!</v>
      </c>
    </row>
    <row r="13" spans="1:11" x14ac:dyDescent="0.25">
      <c r="A13" s="8" t="s">
        <v>31</v>
      </c>
      <c r="B13" s="8"/>
      <c r="C13" s="8" t="s">
        <v>32</v>
      </c>
      <c r="D13" s="8"/>
      <c r="E13" s="8"/>
      <c r="F13" s="16"/>
      <c r="G13" s="8" t="s">
        <v>17</v>
      </c>
      <c r="H13" s="17" t="str">
        <f>IF(F13="","",ROUND(F13/100*$H$5,2))</f>
        <v/>
      </c>
      <c r="I13" s="8" t="s">
        <v>18</v>
      </c>
      <c r="J13" s="5"/>
      <c r="K13" s="12" t="str">
        <f>IF(F13="","Bitte ausfüllen!","")</f>
        <v>Bitte ausfüllen!</v>
      </c>
    </row>
    <row r="14" spans="1:11" x14ac:dyDescent="0.25">
      <c r="A14" s="9"/>
      <c r="B14" s="9" t="s">
        <v>33</v>
      </c>
      <c r="C14" s="9"/>
      <c r="D14" s="9"/>
      <c r="E14" s="9"/>
      <c r="F14" s="18">
        <f>IF(SUM(F9:F13)=0,0,SUM(F9:F13))</f>
        <v>0</v>
      </c>
      <c r="G14" s="9" t="s">
        <v>17</v>
      </c>
      <c r="H14" s="19" t="str">
        <f>IF(COUNTIF(F9:F13,"")&gt;0,"",SUM(H8:H13))</f>
        <v/>
      </c>
      <c r="I14" s="9" t="s">
        <v>18</v>
      </c>
      <c r="J14" s="5"/>
      <c r="K14" s="12" t="str">
        <f>IF(H14="","Angaben offen!","")</f>
        <v>Angaben offen!</v>
      </c>
    </row>
    <row r="15" spans="1:11" x14ac:dyDescent="0.25">
      <c r="A15" s="8"/>
      <c r="B15" s="8"/>
      <c r="C15" s="8"/>
      <c r="D15" s="8"/>
      <c r="E15" s="8"/>
      <c r="F15" s="13"/>
      <c r="G15" s="8"/>
      <c r="H15" s="20"/>
      <c r="I15" s="8"/>
      <c r="J15" s="5"/>
      <c r="K15" s="7"/>
    </row>
    <row r="16" spans="1:11" x14ac:dyDescent="0.25">
      <c r="A16" s="9" t="s">
        <v>34</v>
      </c>
      <c r="B16" s="9" t="s">
        <v>35</v>
      </c>
      <c r="C16" s="9"/>
      <c r="D16" s="9"/>
      <c r="E16" s="9"/>
      <c r="F16" s="14"/>
      <c r="G16" s="9"/>
      <c r="H16" s="21"/>
      <c r="I16" s="9"/>
      <c r="J16" s="5"/>
      <c r="K16" s="7"/>
    </row>
    <row r="17" spans="1:11" x14ac:dyDescent="0.25">
      <c r="A17" s="8" t="s">
        <v>36</v>
      </c>
      <c r="B17" s="8" t="s">
        <v>37</v>
      </c>
      <c r="C17" s="8"/>
      <c r="D17" s="22"/>
      <c r="E17" s="23" t="s">
        <v>17</v>
      </c>
      <c r="F17" s="20"/>
      <c r="G17" s="23"/>
      <c r="H17" s="20"/>
      <c r="I17" s="23"/>
      <c r="J17" s="7"/>
      <c r="K17" s="12" t="str">
        <f>IF(D17&lt;&gt;D73,"Wert prüfen!","")</f>
        <v>Wert prüfen!</v>
      </c>
    </row>
    <row r="18" spans="1:11" x14ac:dyDescent="0.25">
      <c r="A18" s="8"/>
      <c r="B18" s="8" t="s">
        <v>38</v>
      </c>
      <c r="C18" s="8"/>
      <c r="D18" s="24">
        <f>(D17/100)*$F$14</f>
        <v>0</v>
      </c>
      <c r="E18" s="23" t="s">
        <v>17</v>
      </c>
      <c r="F18" s="25">
        <f>IF(D18="","",D17+D18)</f>
        <v>0</v>
      </c>
      <c r="G18" s="23" t="s">
        <v>17</v>
      </c>
      <c r="H18" s="26">
        <f>IF(D18="","",ROUND(F18/100*$H$5,2))</f>
        <v>0</v>
      </c>
      <c r="I18" s="23" t="s">
        <v>18</v>
      </c>
      <c r="J18" s="7"/>
      <c r="K18" s="12"/>
    </row>
    <row r="19" spans="1:11" x14ac:dyDescent="0.25">
      <c r="A19" s="8" t="s">
        <v>39</v>
      </c>
      <c r="B19" s="8" t="s">
        <v>40</v>
      </c>
      <c r="C19" s="8"/>
      <c r="D19" s="22"/>
      <c r="E19" s="23" t="s">
        <v>17</v>
      </c>
      <c r="F19" s="27"/>
      <c r="G19" s="23"/>
      <c r="H19" s="20"/>
      <c r="I19" s="23"/>
      <c r="J19" s="7"/>
      <c r="K19" s="12" t="str">
        <f>IF(D19&lt;&gt;D74,"Wert prüfen!","")</f>
        <v>Wert prüfen!</v>
      </c>
    </row>
    <row r="20" spans="1:11" x14ac:dyDescent="0.25">
      <c r="A20" s="8"/>
      <c r="B20" s="8" t="s">
        <v>41</v>
      </c>
      <c r="C20" s="8"/>
      <c r="D20" s="24">
        <f>(D19/100)*$F$14</f>
        <v>0</v>
      </c>
      <c r="E20" s="23" t="s">
        <v>17</v>
      </c>
      <c r="F20" s="25">
        <f>IF(D20="","",D19+D20)</f>
        <v>0</v>
      </c>
      <c r="G20" s="23" t="s">
        <v>17</v>
      </c>
      <c r="H20" s="26">
        <f>IF(D20="","",ROUND(F20/100*$H$5,2))</f>
        <v>0</v>
      </c>
      <c r="I20" s="23" t="s">
        <v>18</v>
      </c>
      <c r="J20" s="7"/>
      <c r="K20" s="12"/>
    </row>
    <row r="21" spans="1:11" x14ac:dyDescent="0.25">
      <c r="A21" s="8" t="s">
        <v>42</v>
      </c>
      <c r="B21" s="8" t="s">
        <v>43</v>
      </c>
      <c r="C21" s="8"/>
      <c r="D21" s="22"/>
      <c r="E21" s="23" t="s">
        <v>17</v>
      </c>
      <c r="F21" s="27"/>
      <c r="G21" s="23"/>
      <c r="H21" s="20"/>
      <c r="I21" s="23"/>
      <c r="J21" s="7"/>
      <c r="K21" s="12" t="str">
        <f>IF(D21&lt;&gt;D75,"Wert prüfen!","")</f>
        <v>Wert prüfen!</v>
      </c>
    </row>
    <row r="22" spans="1:11" x14ac:dyDescent="0.25">
      <c r="A22" s="8"/>
      <c r="B22" s="8" t="s">
        <v>44</v>
      </c>
      <c r="C22" s="8"/>
      <c r="D22" s="24">
        <f>(D21/100)*$F$14</f>
        <v>0</v>
      </c>
      <c r="E22" s="23" t="s">
        <v>17</v>
      </c>
      <c r="F22" s="25">
        <f>IF(D22="","",D21+D22)</f>
        <v>0</v>
      </c>
      <c r="G22" s="23" t="s">
        <v>17</v>
      </c>
      <c r="H22" s="26">
        <f>IF(D22="","",ROUND(F22/100*$H$5,2))</f>
        <v>0</v>
      </c>
      <c r="I22" s="23" t="s">
        <v>18</v>
      </c>
      <c r="J22" s="7"/>
      <c r="K22" s="12"/>
    </row>
    <row r="23" spans="1:11" x14ac:dyDescent="0.25">
      <c r="A23" s="8" t="s">
        <v>45</v>
      </c>
      <c r="B23" s="8" t="s">
        <v>46</v>
      </c>
      <c r="C23" s="8"/>
      <c r="D23" s="22"/>
      <c r="E23" s="23" t="s">
        <v>17</v>
      </c>
      <c r="F23" s="27"/>
      <c r="G23" s="23"/>
      <c r="H23" s="20"/>
      <c r="I23" s="23"/>
      <c r="J23" s="7"/>
      <c r="K23" s="12" t="str">
        <f>IF(D23&lt;&gt;D76,"Wert prüfen!","")</f>
        <v>Wert prüfen!</v>
      </c>
    </row>
    <row r="24" spans="1:11" x14ac:dyDescent="0.25">
      <c r="A24" s="8"/>
      <c r="B24" s="8" t="s">
        <v>47</v>
      </c>
      <c r="C24" s="8"/>
      <c r="D24" s="24">
        <f>(D23/100)*$F$14</f>
        <v>0</v>
      </c>
      <c r="E24" s="23" t="s">
        <v>17</v>
      </c>
      <c r="F24" s="25">
        <f>IF(D24="","",D23+D24)</f>
        <v>0</v>
      </c>
      <c r="G24" s="23" t="s">
        <v>17</v>
      </c>
      <c r="H24" s="26">
        <f>IF(D24="","",ROUND(F24/100*$H$5,2))</f>
        <v>0</v>
      </c>
      <c r="I24" s="23" t="s">
        <v>18</v>
      </c>
      <c r="J24" s="7"/>
      <c r="K24" s="12"/>
    </row>
    <row r="25" spans="1:11" x14ac:dyDescent="0.25">
      <c r="A25" s="8" t="s">
        <v>48</v>
      </c>
      <c r="B25" s="8" t="s">
        <v>49</v>
      </c>
      <c r="C25" s="8"/>
      <c r="D25" s="16"/>
      <c r="E25" s="23" t="s">
        <v>17</v>
      </c>
      <c r="F25" s="27"/>
      <c r="G25" s="23"/>
      <c r="H25" s="20"/>
      <c r="I25" s="23"/>
      <c r="J25" s="7"/>
      <c r="K25" s="12" t="str">
        <f>IF(D25="","Bitte ausfüllen!","")</f>
        <v>Bitte ausfüllen!</v>
      </c>
    </row>
    <row r="26" spans="1:11" x14ac:dyDescent="0.25">
      <c r="A26" s="8"/>
      <c r="B26" s="8" t="s">
        <v>50</v>
      </c>
      <c r="C26" s="8"/>
      <c r="D26" s="24">
        <f>(D25/100)*$F$14</f>
        <v>0</v>
      </c>
      <c r="E26" s="23" t="s">
        <v>17</v>
      </c>
      <c r="F26" s="25">
        <f>IF(D26="","",D25+D26)</f>
        <v>0</v>
      </c>
      <c r="G26" s="23" t="s">
        <v>17</v>
      </c>
      <c r="H26" s="26">
        <f>IF(D26="","",ROUND(F26/100*$H$5,2))</f>
        <v>0</v>
      </c>
      <c r="I26" s="23" t="s">
        <v>18</v>
      </c>
      <c r="J26" s="7"/>
      <c r="K26" s="12"/>
    </row>
    <row r="27" spans="1:11" x14ac:dyDescent="0.25">
      <c r="A27" s="8" t="s">
        <v>51</v>
      </c>
      <c r="B27" s="8" t="s">
        <v>52</v>
      </c>
      <c r="C27" s="8"/>
      <c r="D27" s="23"/>
      <c r="E27" s="23"/>
      <c r="F27" s="28"/>
      <c r="G27" s="23" t="s">
        <v>17</v>
      </c>
      <c r="H27" s="26" t="str">
        <f>IF(F27="","",ROUND(F27/100*$H$5,2))</f>
        <v/>
      </c>
      <c r="I27" s="23" t="s">
        <v>18</v>
      </c>
      <c r="J27" s="7"/>
      <c r="K27" s="12" t="str">
        <f>IF(F27="","Bitte ausfüllen!","")</f>
        <v>Bitte ausfüllen!</v>
      </c>
    </row>
    <row r="28" spans="1:11" x14ac:dyDescent="0.25">
      <c r="A28" s="8" t="s">
        <v>53</v>
      </c>
      <c r="B28" s="8" t="s">
        <v>54</v>
      </c>
      <c r="C28" s="8"/>
      <c r="D28" s="23"/>
      <c r="E28" s="23"/>
      <c r="F28" s="16"/>
      <c r="G28" s="23" t="s">
        <v>17</v>
      </c>
      <c r="H28" s="26" t="str">
        <f>IF(F28="","",ROUND(F28/100*$H$5,2))</f>
        <v/>
      </c>
      <c r="I28" s="23" t="s">
        <v>18</v>
      </c>
      <c r="J28" s="7"/>
      <c r="K28" s="12" t="str">
        <f>IF(F28&lt;&gt;D79,"Wert prüfen!","")</f>
        <v/>
      </c>
    </row>
    <row r="29" spans="1:11" ht="24.75" customHeight="1" x14ac:dyDescent="0.25">
      <c r="A29" s="9"/>
      <c r="B29" s="82" t="s">
        <v>55</v>
      </c>
      <c r="C29" s="82"/>
      <c r="D29" s="9"/>
      <c r="E29" s="9"/>
      <c r="F29" s="18" t="str">
        <f>IF(SUM(F17:F28)=0,"",SUM(F17:F28)+F14)</f>
        <v/>
      </c>
      <c r="G29" s="9" t="s">
        <v>17</v>
      </c>
      <c r="H29" s="29" t="str">
        <f>IF(OR(COUNTIF(D17:D26,"")&gt;0,COUNTIF(F27:F28,"")&gt;0),"",SUM(H17:H28)+H14)</f>
        <v/>
      </c>
      <c r="I29" s="9" t="s">
        <v>18</v>
      </c>
      <c r="J29" s="5"/>
      <c r="K29" s="12" t="str">
        <f>IF(H29="","Angaben offen!","")</f>
        <v>Angaben offen!</v>
      </c>
    </row>
    <row r="30" spans="1:11" x14ac:dyDescent="0.25">
      <c r="A30" s="8"/>
      <c r="B30" s="8"/>
      <c r="C30" s="8"/>
      <c r="D30" s="8"/>
      <c r="E30" s="8"/>
      <c r="F30" s="13"/>
      <c r="G30" s="8"/>
      <c r="H30" s="20"/>
      <c r="I30" s="8"/>
      <c r="J30" s="5"/>
      <c r="K30" s="7"/>
    </row>
    <row r="31" spans="1:11" x14ac:dyDescent="0.25">
      <c r="A31" s="8"/>
      <c r="B31" s="9" t="s">
        <v>56</v>
      </c>
      <c r="C31" s="8"/>
      <c r="D31" s="8"/>
      <c r="E31" s="8"/>
      <c r="F31" s="13"/>
      <c r="G31" s="8"/>
      <c r="H31" s="20"/>
      <c r="I31" s="8"/>
      <c r="J31" s="5"/>
      <c r="K31" s="7"/>
    </row>
    <row r="32" spans="1:11" x14ac:dyDescent="0.25">
      <c r="A32" s="8" t="s">
        <v>57</v>
      </c>
      <c r="B32" s="8" t="s">
        <v>58</v>
      </c>
      <c r="C32" s="8"/>
      <c r="D32" s="8"/>
      <c r="E32" s="8"/>
      <c r="F32" s="22"/>
      <c r="G32" s="8" t="s">
        <v>17</v>
      </c>
      <c r="H32" s="26" t="str">
        <f>IF(F32="","",ROUND(F32/100*$H$5,2))</f>
        <v/>
      </c>
      <c r="I32" s="8" t="s">
        <v>18</v>
      </c>
      <c r="J32" s="5"/>
      <c r="K32" s="12" t="str">
        <f>IF(F32="","Bitte ausfüllen!","")</f>
        <v>Bitte ausfüllen!</v>
      </c>
    </row>
    <row r="33" spans="1:11" x14ac:dyDescent="0.25">
      <c r="A33" s="8" t="s">
        <v>59</v>
      </c>
      <c r="B33" s="8" t="s">
        <v>60</v>
      </c>
      <c r="C33" s="8"/>
      <c r="D33" s="8"/>
      <c r="E33" s="8"/>
      <c r="F33" s="22"/>
      <c r="G33" s="8" t="s">
        <v>17</v>
      </c>
      <c r="H33" s="26" t="str">
        <f>IF(F33="","",ROUND(F33/100*$H$5,2))</f>
        <v/>
      </c>
      <c r="I33" s="8" t="s">
        <v>18</v>
      </c>
      <c r="J33" s="5"/>
      <c r="K33" s="12" t="str">
        <f>IF(F33="","Bitte ausfüllen!","")</f>
        <v>Bitte ausfüllen!</v>
      </c>
    </row>
    <row r="34" spans="1:11" x14ac:dyDescent="0.25">
      <c r="A34" s="9"/>
      <c r="B34" s="82" t="s">
        <v>61</v>
      </c>
      <c r="C34" s="82"/>
      <c r="D34" s="9"/>
      <c r="E34" s="9"/>
      <c r="F34" s="18" t="str">
        <f>IF(SUM(F32:F33)=0,"",SUM(F32:F33)+F29)</f>
        <v/>
      </c>
      <c r="G34" s="9" t="s">
        <v>17</v>
      </c>
      <c r="H34" s="29" t="str">
        <f>IF(COUNTIF(H32:H33,"")&gt;0,"",SUM(H32:H33)+H29)</f>
        <v/>
      </c>
      <c r="I34" s="9" t="s">
        <v>18</v>
      </c>
      <c r="J34" s="5"/>
      <c r="K34" s="12" t="str">
        <f>IF(H34="","Angaben offen!","")</f>
        <v>Angaben offen!</v>
      </c>
    </row>
    <row r="35" spans="1:11" x14ac:dyDescent="0.25">
      <c r="A35" s="8"/>
      <c r="B35" s="8"/>
      <c r="C35" s="8"/>
      <c r="D35" s="8"/>
      <c r="E35" s="8"/>
      <c r="F35" s="13"/>
      <c r="G35" s="8"/>
      <c r="H35" s="20"/>
      <c r="I35" s="8"/>
      <c r="J35" s="5"/>
      <c r="K35" s="7"/>
    </row>
    <row r="36" spans="1:11" x14ac:dyDescent="0.25">
      <c r="A36" s="9" t="s">
        <v>62</v>
      </c>
      <c r="B36" s="9" t="s">
        <v>63</v>
      </c>
      <c r="C36" s="9"/>
      <c r="D36" s="9"/>
      <c r="E36" s="9"/>
      <c r="F36" s="14"/>
      <c r="G36" s="9"/>
      <c r="H36" s="21"/>
      <c r="I36" s="9"/>
      <c r="J36" s="5"/>
      <c r="K36" s="7"/>
    </row>
    <row r="37" spans="1:11" x14ac:dyDescent="0.25">
      <c r="A37" s="8" t="s">
        <v>64</v>
      </c>
      <c r="B37" s="8" t="s">
        <v>65</v>
      </c>
      <c r="C37" s="8"/>
      <c r="D37" s="8"/>
      <c r="E37" s="8"/>
      <c r="F37" s="13"/>
      <c r="G37" s="8"/>
      <c r="H37" s="20"/>
      <c r="I37" s="8"/>
      <c r="J37" s="5"/>
      <c r="K37" s="7"/>
    </row>
    <row r="38" spans="1:11" x14ac:dyDescent="0.25">
      <c r="A38" s="8"/>
      <c r="B38" s="8" t="s">
        <v>66</v>
      </c>
      <c r="C38" s="8"/>
      <c r="D38" s="8"/>
      <c r="E38" s="8"/>
      <c r="F38" s="22"/>
      <c r="G38" s="8" t="s">
        <v>17</v>
      </c>
      <c r="H38" s="26" t="str">
        <f>IF(F38="","",ROUND(F38/100*$H$5,2))</f>
        <v/>
      </c>
      <c r="I38" s="8" t="s">
        <v>18</v>
      </c>
      <c r="J38" s="5"/>
      <c r="K38" s="12" t="str">
        <f>IF(F38="","Bitte ausfüllen!","")</f>
        <v>Bitte ausfüllen!</v>
      </c>
    </row>
    <row r="39" spans="1:11" x14ac:dyDescent="0.25">
      <c r="A39" s="8" t="s">
        <v>67</v>
      </c>
      <c r="B39" s="8" t="s">
        <v>68</v>
      </c>
      <c r="C39" s="8"/>
      <c r="D39" s="8"/>
      <c r="E39" s="8"/>
      <c r="F39" s="22"/>
      <c r="G39" s="8" t="s">
        <v>17</v>
      </c>
      <c r="H39" s="26" t="str">
        <f>IF(F39="","",ROUND(F39/100*$H$5,2))</f>
        <v/>
      </c>
      <c r="I39" s="8" t="s">
        <v>18</v>
      </c>
      <c r="J39" s="5"/>
      <c r="K39" s="12" t="str">
        <f>IF(F39="","Bitte ausfüllen!","")</f>
        <v>Bitte ausfüllen!</v>
      </c>
    </row>
    <row r="40" spans="1:11" x14ac:dyDescent="0.25">
      <c r="A40" s="8" t="s">
        <v>69</v>
      </c>
      <c r="B40" s="8" t="s">
        <v>70</v>
      </c>
      <c r="C40" s="8"/>
      <c r="D40" s="8"/>
      <c r="E40" s="8"/>
      <c r="F40" s="22"/>
      <c r="G40" s="8" t="s">
        <v>17</v>
      </c>
      <c r="H40" s="26" t="str">
        <f>IF(F40="","",ROUND(F40/100*$H$5,2))</f>
        <v/>
      </c>
      <c r="I40" s="8" t="s">
        <v>18</v>
      </c>
      <c r="J40" s="5"/>
      <c r="K40" s="12" t="str">
        <f>IF(F40="","Bitte ausfüllen!","")</f>
        <v>Bitte ausfüllen!</v>
      </c>
    </row>
    <row r="41" spans="1:11" x14ac:dyDescent="0.25">
      <c r="A41" s="8" t="s">
        <v>71</v>
      </c>
      <c r="B41" s="8" t="s">
        <v>72</v>
      </c>
      <c r="C41" s="8"/>
      <c r="D41" s="8"/>
      <c r="E41" s="8"/>
      <c r="F41" s="22"/>
      <c r="G41" s="8" t="s">
        <v>17</v>
      </c>
      <c r="H41" s="26" t="str">
        <f>IF(F41="","",ROUND(F41/100*$H$5,2))</f>
        <v/>
      </c>
      <c r="I41" s="8" t="s">
        <v>18</v>
      </c>
      <c r="J41" s="5"/>
      <c r="K41" s="12" t="str">
        <f>IF(F41="","Bitte ausfüllen!","")</f>
        <v>Bitte ausfüllen!</v>
      </c>
    </row>
    <row r="42" spans="1:11" ht="25.5" customHeight="1" x14ac:dyDescent="0.25">
      <c r="A42" s="9"/>
      <c r="B42" s="82" t="s">
        <v>73</v>
      </c>
      <c r="C42" s="82"/>
      <c r="D42" s="9"/>
      <c r="E42" s="9"/>
      <c r="F42" s="18" t="str">
        <f>IF(SUM(F38:F41)=0,"",SUM(F38:F41))</f>
        <v/>
      </c>
      <c r="G42" s="9" t="s">
        <v>17</v>
      </c>
      <c r="H42" s="29" t="str">
        <f>IF(COUNTIF(H38:H41,"")&gt;0,"",SUM(H38:H41))</f>
        <v/>
      </c>
      <c r="I42" s="9" t="s">
        <v>18</v>
      </c>
      <c r="J42" s="5"/>
      <c r="K42" s="12" t="str">
        <f>IF(H42="","Angaben offen!","")</f>
        <v>Angaben offen!</v>
      </c>
    </row>
    <row r="43" spans="1:11" x14ac:dyDescent="0.25">
      <c r="A43" s="8"/>
      <c r="B43" s="8"/>
      <c r="C43" s="8"/>
      <c r="D43" s="8"/>
      <c r="E43" s="8"/>
      <c r="F43" s="13"/>
      <c r="G43" s="8"/>
      <c r="H43" s="20"/>
      <c r="I43" s="8"/>
      <c r="J43" s="5"/>
      <c r="K43" s="7"/>
    </row>
    <row r="44" spans="1:11" x14ac:dyDescent="0.25">
      <c r="A44" s="9" t="s">
        <v>74</v>
      </c>
      <c r="B44" s="9" t="s">
        <v>75</v>
      </c>
      <c r="C44" s="9"/>
      <c r="D44" s="9"/>
      <c r="E44" s="9"/>
      <c r="F44" s="9"/>
      <c r="G44" s="9"/>
      <c r="H44" s="30"/>
      <c r="I44" s="9"/>
      <c r="J44" s="5"/>
      <c r="K44" s="7"/>
    </row>
    <row r="45" spans="1:11" x14ac:dyDescent="0.25">
      <c r="A45" s="8" t="s">
        <v>76</v>
      </c>
      <c r="B45" s="8" t="s">
        <v>77</v>
      </c>
      <c r="C45" s="8"/>
      <c r="D45" s="8"/>
      <c r="E45" s="8"/>
      <c r="F45" s="8"/>
      <c r="G45" s="8"/>
      <c r="H45" s="23"/>
      <c r="I45" s="8"/>
      <c r="J45" s="5"/>
      <c r="K45" s="7"/>
    </row>
    <row r="46" spans="1:11" x14ac:dyDescent="0.25">
      <c r="A46" s="8" t="s">
        <v>78</v>
      </c>
      <c r="B46" s="8"/>
      <c r="C46" s="8" t="s">
        <v>79</v>
      </c>
      <c r="D46" s="8"/>
      <c r="E46" s="8"/>
      <c r="F46" s="22"/>
      <c r="G46" s="8" t="s">
        <v>17</v>
      </c>
      <c r="H46" s="26" t="str">
        <f>IF(F46="","",ROUND(F46/100*$H$5,2))</f>
        <v/>
      </c>
      <c r="I46" s="8" t="s">
        <v>18</v>
      </c>
      <c r="J46" s="5"/>
      <c r="K46" s="12" t="str">
        <f>IF(F46="","Bitte ausfüllen!","")</f>
        <v>Bitte ausfüllen!</v>
      </c>
    </row>
    <row r="47" spans="1:11" x14ac:dyDescent="0.25">
      <c r="A47" s="8" t="s">
        <v>80</v>
      </c>
      <c r="B47" s="8"/>
      <c r="C47" s="8" t="s">
        <v>81</v>
      </c>
      <c r="D47" s="8"/>
      <c r="E47" s="8"/>
      <c r="F47" s="22"/>
      <c r="G47" s="8" t="s">
        <v>17</v>
      </c>
      <c r="H47" s="26" t="str">
        <f>IF(F47="","",ROUND(F47/100*$H$5,2))</f>
        <v/>
      </c>
      <c r="I47" s="8" t="s">
        <v>18</v>
      </c>
      <c r="J47" s="5"/>
      <c r="K47" s="12" t="str">
        <f>IF(F47="","Bitte ausfüllen!","")</f>
        <v>Bitte ausfüllen!</v>
      </c>
    </row>
    <row r="48" spans="1:11" x14ac:dyDescent="0.25">
      <c r="A48" s="8" t="s">
        <v>82</v>
      </c>
      <c r="B48" s="8" t="s">
        <v>83</v>
      </c>
      <c r="C48" s="8"/>
      <c r="D48" s="8"/>
      <c r="E48" s="8"/>
      <c r="F48" s="22"/>
      <c r="G48" s="8" t="s">
        <v>17</v>
      </c>
      <c r="H48" s="26" t="str">
        <f>IF(F48="","",ROUND(F48/100*$H$5,2))</f>
        <v/>
      </c>
      <c r="I48" s="8" t="s">
        <v>18</v>
      </c>
      <c r="J48" s="5"/>
      <c r="K48" s="12" t="str">
        <f>IF(F48="","Bitte ausfüllen!","")</f>
        <v>Bitte ausfüllen!</v>
      </c>
    </row>
    <row r="49" spans="1:11" x14ac:dyDescent="0.25">
      <c r="A49" s="8" t="s">
        <v>84</v>
      </c>
      <c r="B49" s="8" t="s">
        <v>85</v>
      </c>
      <c r="C49" s="8"/>
      <c r="D49" s="8"/>
      <c r="E49" s="8"/>
      <c r="F49" s="8"/>
      <c r="G49" s="8"/>
      <c r="H49" s="23"/>
      <c r="I49" s="8"/>
      <c r="J49" s="5"/>
      <c r="K49" s="7"/>
    </row>
    <row r="50" spans="1:11" x14ac:dyDescent="0.25">
      <c r="A50" s="8" t="s">
        <v>86</v>
      </c>
      <c r="B50" s="8"/>
      <c r="C50" s="8" t="s">
        <v>87</v>
      </c>
      <c r="D50" s="8"/>
      <c r="E50" s="8"/>
      <c r="F50" s="22"/>
      <c r="G50" s="8" t="s">
        <v>17</v>
      </c>
      <c r="H50" s="26" t="str">
        <f t="shared" ref="H50:H56" si="0">IF(F50="","",ROUND(F50/100*$H$5,2))</f>
        <v/>
      </c>
      <c r="I50" s="8" t="s">
        <v>18</v>
      </c>
      <c r="J50" s="5"/>
      <c r="K50" s="12" t="str">
        <f t="shared" ref="K50:K56" si="1">IF(F50="","Bitte ausfüllen!","")</f>
        <v>Bitte ausfüllen!</v>
      </c>
    </row>
    <row r="51" spans="1:11" x14ac:dyDescent="0.25">
      <c r="A51" s="8" t="s">
        <v>88</v>
      </c>
      <c r="B51" s="8"/>
      <c r="C51" s="8" t="s">
        <v>89</v>
      </c>
      <c r="D51" s="8"/>
      <c r="E51" s="8"/>
      <c r="F51" s="22"/>
      <c r="G51" s="8" t="s">
        <v>17</v>
      </c>
      <c r="H51" s="26" t="str">
        <f t="shared" si="0"/>
        <v/>
      </c>
      <c r="I51" s="8" t="s">
        <v>18</v>
      </c>
      <c r="J51" s="5"/>
      <c r="K51" s="12" t="str">
        <f t="shared" si="1"/>
        <v>Bitte ausfüllen!</v>
      </c>
    </row>
    <row r="52" spans="1:11" x14ac:dyDescent="0.25">
      <c r="A52" s="8" t="s">
        <v>90</v>
      </c>
      <c r="B52" s="8" t="s">
        <v>91</v>
      </c>
      <c r="C52" s="8"/>
      <c r="D52" s="8"/>
      <c r="E52" s="8"/>
      <c r="F52" s="22"/>
      <c r="G52" s="8" t="s">
        <v>17</v>
      </c>
      <c r="H52" s="26" t="str">
        <f t="shared" si="0"/>
        <v/>
      </c>
      <c r="I52" s="8" t="s">
        <v>18</v>
      </c>
      <c r="J52" s="5"/>
      <c r="K52" s="12" t="str">
        <f t="shared" si="1"/>
        <v>Bitte ausfüllen!</v>
      </c>
    </row>
    <row r="53" spans="1:11" x14ac:dyDescent="0.25">
      <c r="A53" s="8" t="s">
        <v>92</v>
      </c>
      <c r="B53" s="8" t="s">
        <v>93</v>
      </c>
      <c r="C53" s="8"/>
      <c r="D53" s="8"/>
      <c r="E53" s="8"/>
      <c r="F53" s="22"/>
      <c r="G53" s="8" t="s">
        <v>17</v>
      </c>
      <c r="H53" s="26" t="str">
        <f t="shared" si="0"/>
        <v/>
      </c>
      <c r="I53" s="8" t="s">
        <v>18</v>
      </c>
      <c r="J53" s="5"/>
      <c r="K53" s="12" t="str">
        <f t="shared" si="1"/>
        <v>Bitte ausfüllen!</v>
      </c>
    </row>
    <row r="54" spans="1:11" x14ac:dyDescent="0.25">
      <c r="A54" s="8" t="s">
        <v>94</v>
      </c>
      <c r="B54" s="8" t="s">
        <v>95</v>
      </c>
      <c r="C54" s="8"/>
      <c r="D54" s="8"/>
      <c r="E54" s="8"/>
      <c r="F54" s="22"/>
      <c r="G54" s="8" t="s">
        <v>17</v>
      </c>
      <c r="H54" s="26" t="str">
        <f t="shared" si="0"/>
        <v/>
      </c>
      <c r="I54" s="8" t="s">
        <v>18</v>
      </c>
      <c r="J54" s="5"/>
      <c r="K54" s="12" t="str">
        <f t="shared" si="1"/>
        <v>Bitte ausfüllen!</v>
      </c>
    </row>
    <row r="55" spans="1:11" x14ac:dyDescent="0.25">
      <c r="A55" s="8" t="s">
        <v>96</v>
      </c>
      <c r="B55" s="8" t="s">
        <v>97</v>
      </c>
      <c r="C55" s="8"/>
      <c r="D55" s="8"/>
      <c r="E55" s="8"/>
      <c r="F55" s="22"/>
      <c r="G55" s="8" t="s">
        <v>17</v>
      </c>
      <c r="H55" s="26" t="str">
        <f t="shared" si="0"/>
        <v/>
      </c>
      <c r="I55" s="8" t="s">
        <v>18</v>
      </c>
      <c r="J55" s="5"/>
      <c r="K55" s="12" t="str">
        <f t="shared" si="1"/>
        <v>Bitte ausfüllen!</v>
      </c>
    </row>
    <row r="56" spans="1:11" x14ac:dyDescent="0.25">
      <c r="A56" s="8" t="s">
        <v>98</v>
      </c>
      <c r="B56" s="8" t="s">
        <v>99</v>
      </c>
      <c r="C56" s="8"/>
      <c r="D56" s="8"/>
      <c r="E56" s="8"/>
      <c r="F56" s="22"/>
      <c r="G56" s="8" t="s">
        <v>17</v>
      </c>
      <c r="H56" s="26" t="str">
        <f t="shared" si="0"/>
        <v/>
      </c>
      <c r="I56" s="8" t="s">
        <v>18</v>
      </c>
      <c r="J56" s="5"/>
      <c r="K56" s="12" t="str">
        <f t="shared" si="1"/>
        <v>Bitte ausfüllen!</v>
      </c>
    </row>
    <row r="57" spans="1:11" ht="23.25" customHeight="1" x14ac:dyDescent="0.25">
      <c r="A57" s="9"/>
      <c r="B57" s="82" t="s">
        <v>100</v>
      </c>
      <c r="C57" s="82"/>
      <c r="D57" s="9"/>
      <c r="E57" s="9"/>
      <c r="F57" s="18" t="str">
        <f>IF(SUM(F45:F56)=0,"",SUM(F45:F56))</f>
        <v/>
      </c>
      <c r="G57" s="9" t="s">
        <v>17</v>
      </c>
      <c r="H57" s="29" t="str">
        <f>IF(COUNTIF(H46:H56,"")&gt;1,"",SUM(H46:H56))</f>
        <v/>
      </c>
      <c r="I57" s="9" t="s">
        <v>18</v>
      </c>
      <c r="J57" s="5"/>
      <c r="K57" s="12" t="str">
        <f>IF(H57="","Angaben offen!","")</f>
        <v>Angaben offen!</v>
      </c>
    </row>
    <row r="58" spans="1:11" x14ac:dyDescent="0.25">
      <c r="A58" s="8"/>
      <c r="B58" s="8"/>
      <c r="C58" s="8"/>
      <c r="D58" s="8"/>
      <c r="E58" s="8"/>
      <c r="F58" s="13"/>
      <c r="G58" s="8"/>
      <c r="H58" s="20"/>
      <c r="I58" s="8"/>
      <c r="J58" s="5"/>
      <c r="K58" s="7"/>
    </row>
    <row r="59" spans="1:11" x14ac:dyDescent="0.25">
      <c r="A59" s="9" t="s">
        <v>101</v>
      </c>
      <c r="B59" s="80" t="s">
        <v>102</v>
      </c>
      <c r="C59" s="80"/>
      <c r="D59" s="9"/>
      <c r="E59" s="9"/>
      <c r="F59" s="31" t="str">
        <f>IF(AND(F34=""),"",F34+F42+F57+F5)</f>
        <v/>
      </c>
      <c r="G59" s="9" t="s">
        <v>17</v>
      </c>
      <c r="H59" s="21" t="str">
        <f>IF(H57="","",H34+H42+H57+H5)</f>
        <v/>
      </c>
      <c r="I59" s="9" t="s">
        <v>18</v>
      </c>
      <c r="J59" s="5"/>
      <c r="K59" s="7"/>
    </row>
    <row r="60" spans="1:11" x14ac:dyDescent="0.25">
      <c r="A60" s="9" t="s">
        <v>103</v>
      </c>
      <c r="B60" s="9" t="s">
        <v>104</v>
      </c>
      <c r="C60" s="9"/>
      <c r="D60" s="9"/>
      <c r="E60" s="9"/>
      <c r="F60" s="32"/>
      <c r="G60" s="9" t="s">
        <v>17</v>
      </c>
      <c r="H60" s="19" t="str">
        <f>IF(F60="","",ROUND(F60/100*H59,2))</f>
        <v/>
      </c>
      <c r="I60" s="9" t="s">
        <v>18</v>
      </c>
      <c r="J60" s="5"/>
      <c r="K60" s="12" t="str">
        <f>IF(F60="","Bitte ausfüllen!","")</f>
        <v>Bitte ausfüllen!</v>
      </c>
    </row>
    <row r="61" spans="1:11" x14ac:dyDescent="0.25">
      <c r="A61" s="9"/>
      <c r="B61" s="9" t="s">
        <v>105</v>
      </c>
      <c r="C61" s="9"/>
      <c r="D61" s="9"/>
      <c r="E61" s="9"/>
      <c r="F61" s="18" t="str">
        <f ca="1">IF(H61="","",H61/H5*100)</f>
        <v/>
      </c>
      <c r="G61" s="9" t="s">
        <v>17</v>
      </c>
      <c r="H61" s="19" t="str">
        <f ca="1">IF(SUM(COUNTIF(INDIRECT({"H5","F9:F13","D17:D26","F27:F28","F32:F33","F38:F41","F46:F48","F50:F56","F60","H65:H68"}),""))&gt;0,"",H59+H60)</f>
        <v/>
      </c>
      <c r="I61" s="9" t="s">
        <v>18</v>
      </c>
      <c r="J61" s="5"/>
      <c r="K61" s="12" t="str">
        <f ca="1">IF(SUM(COUNTIF(INDIRECT({"H5","F9:F13","D17:D26","F27:F28","F32:F33","F38:F41","F46:F48","F50:F56","F60","H65:H68"}),""))&gt;0,SUM(COUNTIF(INDIRECT({"H5","F9:F13","D17:D26","F27:F28","F32:F33","F38:F41","F46:F48","F50:F56","F60","H65:H68"}),"")) &amp;" Zelle(n) ohne Wert!","")</f>
        <v>34 Zelle(n) ohne Wert!</v>
      </c>
    </row>
    <row r="62" spans="1:11" x14ac:dyDescent="0.25">
      <c r="A62" s="8"/>
      <c r="B62" s="8" t="s">
        <v>106</v>
      </c>
      <c r="C62" s="8"/>
      <c r="D62" s="8"/>
      <c r="E62" s="8"/>
      <c r="F62" s="18" t="str">
        <f ca="1">IF(F61="","",F61-F5)</f>
        <v/>
      </c>
      <c r="G62" s="8" t="s">
        <v>17</v>
      </c>
      <c r="H62" s="8"/>
      <c r="I62" s="8"/>
      <c r="J62" s="5"/>
      <c r="K62" s="7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5"/>
      <c r="K63" s="7"/>
    </row>
    <row r="64" spans="1:11" x14ac:dyDescent="0.25">
      <c r="A64" s="5"/>
      <c r="B64" s="9" t="s">
        <v>107</v>
      </c>
      <c r="C64" s="5"/>
      <c r="D64" s="9"/>
      <c r="E64" s="9"/>
      <c r="F64" s="5"/>
      <c r="G64" s="9"/>
      <c r="H64" s="14" t="s">
        <v>108</v>
      </c>
      <c r="I64" s="5"/>
      <c r="J64" s="5"/>
      <c r="K64" s="7"/>
    </row>
    <row r="65" spans="1:11" x14ac:dyDescent="0.25">
      <c r="A65" s="5"/>
      <c r="B65" s="8" t="s">
        <v>109</v>
      </c>
      <c r="C65" s="5"/>
      <c r="D65" s="8"/>
      <c r="E65" s="8"/>
      <c r="F65" s="5"/>
      <c r="G65" s="33"/>
      <c r="H65" s="34"/>
      <c r="I65" s="5"/>
      <c r="J65" s="5"/>
      <c r="K65" s="12" t="str">
        <f>IF(H65="","Bitte ausfüllen!","")</f>
        <v>Bitte ausfüllen!</v>
      </c>
    </row>
    <row r="66" spans="1:11" x14ac:dyDescent="0.25">
      <c r="A66" s="5"/>
      <c r="B66" s="8" t="s">
        <v>110</v>
      </c>
      <c r="C66" s="5"/>
      <c r="D66" s="8"/>
      <c r="E66" s="8"/>
      <c r="F66" s="5"/>
      <c r="G66" s="33"/>
      <c r="H66" s="34"/>
      <c r="I66" s="5"/>
      <c r="J66" s="5"/>
      <c r="K66" s="12" t="str">
        <f>IF(H66="","Bitte ausfüllen!","")</f>
        <v>Bitte ausfüllen!</v>
      </c>
    </row>
    <row r="67" spans="1:11" x14ac:dyDescent="0.25">
      <c r="A67" s="5"/>
      <c r="B67" s="8" t="s">
        <v>111</v>
      </c>
      <c r="C67" s="5"/>
      <c r="D67" s="8"/>
      <c r="E67" s="8"/>
      <c r="F67" s="5"/>
      <c r="G67" s="33"/>
      <c r="H67" s="34"/>
      <c r="I67" s="5"/>
      <c r="J67" s="5"/>
      <c r="K67" s="12" t="str">
        <f>IF(H67="","Bitte ausfüllen!","")</f>
        <v>Bitte ausfüllen!</v>
      </c>
    </row>
    <row r="68" spans="1:11" x14ac:dyDescent="0.25">
      <c r="A68" s="5"/>
      <c r="B68" s="8" t="s">
        <v>112</v>
      </c>
      <c r="C68" s="5"/>
      <c r="D68" s="8"/>
      <c r="E68" s="8"/>
      <c r="F68" s="5"/>
      <c r="G68" s="33"/>
      <c r="H68" s="34"/>
      <c r="I68" s="5"/>
      <c r="J68" s="5"/>
      <c r="K68" s="12" t="str">
        <f>IF(H68="","Bitte ausfüllen!","")</f>
        <v>Bitte ausfüllen!</v>
      </c>
    </row>
    <row r="69" spans="1:1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7"/>
    </row>
    <row r="70" spans="1:11" x14ac:dyDescent="0.25">
      <c r="A70" s="5"/>
      <c r="B70" s="5"/>
      <c r="C70" s="35"/>
      <c r="D70" s="36"/>
      <c r="E70" s="5"/>
      <c r="F70" s="5"/>
      <c r="G70" s="5"/>
      <c r="H70" s="5"/>
      <c r="I70" s="5"/>
      <c r="J70" s="5"/>
      <c r="K70" s="7"/>
    </row>
    <row r="71" spans="1:11" x14ac:dyDescent="0.25">
      <c r="A71" s="5"/>
      <c r="B71" s="5"/>
      <c r="C71" s="37"/>
      <c r="D71" s="7"/>
      <c r="E71" s="5"/>
      <c r="F71" s="5"/>
      <c r="G71" s="5"/>
      <c r="H71" s="5"/>
      <c r="I71" s="5"/>
      <c r="J71" s="5"/>
      <c r="K71" s="7"/>
    </row>
    <row r="72" spans="1:11" ht="21" x14ac:dyDescent="0.25">
      <c r="A72" s="78" t="s">
        <v>113</v>
      </c>
      <c r="B72" s="78"/>
      <c r="C72" s="78"/>
      <c r="D72" s="38" t="s">
        <v>114</v>
      </c>
      <c r="E72" s="5"/>
      <c r="F72" s="78" t="s">
        <v>115</v>
      </c>
      <c r="G72" s="78"/>
      <c r="H72" s="78"/>
      <c r="I72" s="9"/>
      <c r="J72" s="9"/>
      <c r="K72" s="9"/>
    </row>
    <row r="73" spans="1:11" x14ac:dyDescent="0.25">
      <c r="A73" s="77">
        <v>1</v>
      </c>
      <c r="B73" s="77"/>
      <c r="C73" s="39" t="s">
        <v>116</v>
      </c>
      <c r="D73" s="40">
        <v>8.15</v>
      </c>
      <c r="E73" s="7"/>
      <c r="F73" s="79" t="s">
        <v>117</v>
      </c>
      <c r="G73" s="79"/>
      <c r="H73" s="79"/>
      <c r="I73" s="7"/>
      <c r="J73" s="7"/>
      <c r="K73" s="7"/>
    </row>
    <row r="74" spans="1:11" x14ac:dyDescent="0.25">
      <c r="A74" s="77">
        <v>2</v>
      </c>
      <c r="B74" s="77"/>
      <c r="C74" s="39" t="s">
        <v>118</v>
      </c>
      <c r="D74" s="40">
        <v>9.3000000000000007</v>
      </c>
      <c r="E74" s="7"/>
      <c r="F74" s="7"/>
      <c r="G74" s="7"/>
      <c r="H74" s="7"/>
      <c r="I74" s="7"/>
      <c r="J74" s="7"/>
      <c r="K74" s="7"/>
    </row>
    <row r="75" spans="1:11" x14ac:dyDescent="0.25">
      <c r="A75" s="77">
        <v>3</v>
      </c>
      <c r="B75" s="77"/>
      <c r="C75" s="39" t="s">
        <v>119</v>
      </c>
      <c r="D75" s="40">
        <v>1.3</v>
      </c>
      <c r="E75" s="7"/>
      <c r="F75" s="7"/>
      <c r="G75" s="7"/>
      <c r="H75" s="7"/>
      <c r="I75" s="7"/>
      <c r="J75" s="7"/>
      <c r="K75" s="7"/>
    </row>
    <row r="76" spans="1:11" ht="21" x14ac:dyDescent="0.25">
      <c r="A76" s="77">
        <v>4</v>
      </c>
      <c r="B76" s="77"/>
      <c r="C76" s="39" t="s">
        <v>120</v>
      </c>
      <c r="D76" s="40">
        <v>1.2</v>
      </c>
      <c r="E76" s="7"/>
      <c r="F76" s="7"/>
      <c r="G76" s="7"/>
      <c r="H76" s="7"/>
      <c r="I76" s="7"/>
      <c r="J76" s="7"/>
      <c r="K76" s="7"/>
    </row>
    <row r="77" spans="1:11" x14ac:dyDescent="0.25">
      <c r="A77" s="77">
        <v>5</v>
      </c>
      <c r="B77" s="77"/>
      <c r="C77" s="39" t="s">
        <v>121</v>
      </c>
      <c r="D77" s="41"/>
      <c r="E77" s="7"/>
      <c r="F77" s="7"/>
      <c r="G77" s="7"/>
      <c r="H77" s="7"/>
      <c r="I77" s="7"/>
      <c r="J77" s="7"/>
      <c r="K77" s="7"/>
    </row>
    <row r="78" spans="1:11" ht="21" x14ac:dyDescent="0.25">
      <c r="A78" s="77">
        <v>6</v>
      </c>
      <c r="B78" s="77"/>
      <c r="C78" s="39" t="s">
        <v>122</v>
      </c>
      <c r="D78" s="41"/>
      <c r="E78" s="7"/>
      <c r="F78" s="7"/>
      <c r="G78" s="7"/>
      <c r="H78" s="7"/>
      <c r="I78" s="7"/>
      <c r="J78" s="7"/>
      <c r="K78" s="7"/>
    </row>
    <row r="79" spans="1:11" ht="21" x14ac:dyDescent="0.25">
      <c r="A79" s="77">
        <v>7</v>
      </c>
      <c r="B79" s="77"/>
      <c r="C79" s="39" t="s">
        <v>123</v>
      </c>
      <c r="D79" s="41"/>
      <c r="E79" s="7"/>
      <c r="F79" s="7"/>
      <c r="G79" s="7"/>
      <c r="H79" s="7"/>
      <c r="I79" s="7"/>
      <c r="J79" s="7"/>
      <c r="K79" s="7"/>
    </row>
  </sheetData>
  <sheetProtection algorithmName="SHA-512" hashValue="ER1bopm5efQP5ez1gNb4zW/OmXl232zc0vSkV9crfPlst9sNvsSaBzjrlG6zLJLeAvUCGZlVzgeLNutwSFPJPA==" saltValue="80vxq++/XrOaitaJhc1Ljg==" spinCount="100000" sheet="1" objects="1" scenarios="1"/>
  <protectedRanges>
    <protectedRange algorithmName="SHA-512" hashValue="5kJH+2GPl+4F+w+IbgQg0oL8A00H2CduAbJMS2dkWIyJRbrd45Yq+ZWW7d6x6cBaKu4JnNgRbfM3NcHdSzAfnA==" saltValue="CD9FvtRPzme4vO1qUfGHPw==" spinCount="100000" sqref="C2" name="Bereich1_2"/>
    <protectedRange algorithmName="SHA-512" hashValue="Eg5QKJXH1dForaauvtcxKbpVhpgkPF6m1TDbLp0A4qcQENXRsjxOEiMV7NjeRHtAXeGHPZl/Ugw/qz7dl7mAVw==" saltValue="SvI82urjUk6wwNn7R8UdHw==" spinCount="100000" sqref="I5:K68 G6:H64 A5:F8 A9:E15 F14:F15 A16:F16 E17:F26 D18 D20 D22 D24 D26 A17:C68 F42 F61:F62 F57 F34 F29 L1:L4 F2:K4 A1:J1 A3:E4 A2:B2 D2:E2" name="Bereich1"/>
  </protectedRanges>
  <mergeCells count="16">
    <mergeCell ref="B59:C59"/>
    <mergeCell ref="A3:I3"/>
    <mergeCell ref="B29:C29"/>
    <mergeCell ref="B34:C34"/>
    <mergeCell ref="B42:C42"/>
    <mergeCell ref="B57:C57"/>
    <mergeCell ref="F72:H72"/>
    <mergeCell ref="A73:B73"/>
    <mergeCell ref="F73:H73"/>
    <mergeCell ref="A74:B74"/>
    <mergeCell ref="A75:B75"/>
    <mergeCell ref="A76:B76"/>
    <mergeCell ref="A77:B77"/>
    <mergeCell ref="A78:B78"/>
    <mergeCell ref="A79:B79"/>
    <mergeCell ref="A72:C72"/>
  </mergeCells>
  <dataValidations disablePrompts="1" count="1">
    <dataValidation type="decimal" errorStyle="warning" allowBlank="1" showInputMessage="1" showErrorMessage="1" error="Bitte überprüfen Sie Ihre Eingaben." sqref="C25" xr:uid="{F6A61D83-B1CB-4F35-84AD-CCA00E7A7B99}">
      <formula1>8.5</formula1>
      <formula2>84</formula2>
    </dataValidation>
  </dataValidations>
  <hyperlinks>
    <hyperlink ref="F1" location="Inhaltsverzeichnis!A1" display="Zurück zum Inhaltsverzeichnis" xr:uid="{BE6B97DF-C935-4E89-811D-F86D44FC436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B5BD-814F-47EA-8225-8C7E7B0CCEC1}">
  <dimension ref="A1:J8"/>
  <sheetViews>
    <sheetView workbookViewId="0">
      <selection activeCell="K12" sqref="K12"/>
    </sheetView>
  </sheetViews>
  <sheetFormatPr baseColWidth="10" defaultRowHeight="15" x14ac:dyDescent="0.25"/>
  <cols>
    <col min="1" max="1" width="14.140625" customWidth="1"/>
    <col min="2" max="2" width="11" bestFit="1" customWidth="1"/>
    <col min="5" max="5" width="18.42578125" customWidth="1"/>
    <col min="6" max="6" width="11" bestFit="1" customWidth="1"/>
    <col min="7" max="7" width="6.7109375" bestFit="1" customWidth="1"/>
    <col min="10" max="10" width="10.5703125" bestFit="1" customWidth="1"/>
  </cols>
  <sheetData>
    <row r="1" spans="1:10" x14ac:dyDescent="0.25">
      <c r="A1" s="7" t="s">
        <v>124</v>
      </c>
      <c r="B1" s="7"/>
      <c r="C1" s="42"/>
      <c r="D1" s="43" t="s">
        <v>13</v>
      </c>
      <c r="E1" s="5"/>
      <c r="F1" s="5"/>
      <c r="G1" s="5"/>
      <c r="H1" s="5"/>
      <c r="I1" s="5"/>
      <c r="J1" s="5"/>
    </row>
    <row r="2" spans="1:10" x14ac:dyDescent="0.25">
      <c r="A2" s="7" t="s">
        <v>14</v>
      </c>
      <c r="B2" s="1" t="str">
        <f>IF(Inhaltsverzeichnis!B2="", "",Inhaltsverzeichnis!B2)</f>
        <v/>
      </c>
      <c r="C2" s="42"/>
      <c r="D2" s="7"/>
      <c r="E2" s="7"/>
      <c r="F2" s="7"/>
      <c r="G2" s="7"/>
      <c r="H2" s="7"/>
      <c r="I2" s="7"/>
      <c r="J2" s="7"/>
    </row>
    <row r="3" spans="1:10" x14ac:dyDescent="0.25">
      <c r="A3" s="7"/>
      <c r="B3" s="36"/>
      <c r="C3" s="42"/>
      <c r="D3" s="7"/>
      <c r="E3" s="7"/>
      <c r="F3" s="7"/>
      <c r="G3" s="7"/>
      <c r="H3" s="7"/>
      <c r="I3" s="7"/>
      <c r="J3" s="7"/>
    </row>
    <row r="4" spans="1:10" ht="42" x14ac:dyDescent="0.25">
      <c r="A4" s="44" t="s">
        <v>125</v>
      </c>
      <c r="B4" s="45" t="s">
        <v>126</v>
      </c>
      <c r="C4" s="45" t="s">
        <v>127</v>
      </c>
      <c r="D4" s="45" t="s">
        <v>128</v>
      </c>
      <c r="E4" s="45" t="s">
        <v>129</v>
      </c>
      <c r="F4" s="45" t="s">
        <v>130</v>
      </c>
      <c r="G4" s="45" t="s">
        <v>131</v>
      </c>
      <c r="H4" s="45" t="s">
        <v>132</v>
      </c>
      <c r="I4" s="46" t="s">
        <v>133</v>
      </c>
      <c r="J4" s="47" t="s">
        <v>134</v>
      </c>
    </row>
    <row r="5" spans="1:10" x14ac:dyDescent="0.25">
      <c r="A5" s="39" t="s">
        <v>151</v>
      </c>
      <c r="B5" s="39" t="s">
        <v>135</v>
      </c>
      <c r="C5" s="48" t="s">
        <v>136</v>
      </c>
      <c r="D5" s="49">
        <v>564.37</v>
      </c>
      <c r="E5" s="49">
        <v>1</v>
      </c>
      <c r="F5" s="50"/>
      <c r="G5" s="50"/>
      <c r="H5" s="49" t="str">
        <f ca="1">'SVS GlasRG'!H61</f>
        <v/>
      </c>
      <c r="I5" s="51">
        <f t="shared" ref="I5:I6" si="0">IF(F5="",0,ROUND((D5*E5/G5*H5)+F5,2))</f>
        <v>0</v>
      </c>
      <c r="J5" s="52" t="e">
        <f t="shared" ref="J5:J6" si="1">D5/G5</f>
        <v>#DIV/0!</v>
      </c>
    </row>
    <row r="6" spans="1:10" ht="21" x14ac:dyDescent="0.25">
      <c r="A6" s="39" t="s">
        <v>152</v>
      </c>
      <c r="B6" s="39" t="s">
        <v>135</v>
      </c>
      <c r="C6" s="48" t="s">
        <v>136</v>
      </c>
      <c r="D6" s="49">
        <v>120.37</v>
      </c>
      <c r="E6" s="49">
        <v>1</v>
      </c>
      <c r="F6" s="50"/>
      <c r="G6" s="50"/>
      <c r="H6" s="49" t="str">
        <f ca="1">'SVS GlasRG'!H61</f>
        <v/>
      </c>
      <c r="I6" s="51">
        <f t="shared" si="0"/>
        <v>0</v>
      </c>
      <c r="J6" s="52" t="e">
        <f t="shared" si="1"/>
        <v>#DIV/0!</v>
      </c>
    </row>
    <row r="7" spans="1:10" x14ac:dyDescent="0.25">
      <c r="A7" s="5"/>
      <c r="B7" s="5"/>
      <c r="C7" s="53"/>
      <c r="D7" s="5"/>
      <c r="E7" s="5"/>
      <c r="F7" s="5"/>
      <c r="G7" s="5"/>
      <c r="H7" s="5"/>
      <c r="I7" s="52">
        <f>SUM(I5:I6)</f>
        <v>0</v>
      </c>
      <c r="J7" s="52" t="e">
        <f>SUM(J5:J6)</f>
        <v>#DIV/0!</v>
      </c>
    </row>
    <row r="8" spans="1:10" ht="51" customHeight="1" x14ac:dyDescent="0.25">
      <c r="A8" s="5"/>
      <c r="B8" s="83" t="s">
        <v>137</v>
      </c>
      <c r="C8" s="84"/>
      <c r="D8" s="84"/>
      <c r="E8" s="84"/>
      <c r="F8" s="84"/>
      <c r="G8" s="84"/>
      <c r="H8" s="84"/>
      <c r="I8" s="84"/>
      <c r="J8" s="5"/>
    </row>
  </sheetData>
  <sheetProtection algorithmName="SHA-512" hashValue="Cqhhyb0y/MO8E8CnaTKmcdZ8B4A0dl1LNf+dQEDtv6/AU2eS8hpKwtqGH82Y8//OhZ70WlMwOeOfyMLLynvR/Q==" saltValue="Aw/K3p6+NcvWqoWJRmIhnA==" spinCount="100000" sheet="1" objects="1" scenarios="1"/>
  <protectedRanges>
    <protectedRange algorithmName="SHA-512" hashValue="5kJH+2GPl+4F+w+IbgQg0oL8A00H2CduAbJMS2dkWIyJRbrd45Yq+ZWW7d6x6cBaKu4JnNgRbfM3NcHdSzAfnA==" saltValue="CD9FvtRPzme4vO1qUfGHPw==" spinCount="100000" sqref="B2" name="Bereich1_2"/>
    <protectedRange algorithmName="SHA-512" hashValue="MjusO/DeWELzcueH/3bkMbCcr9VdruHUm059VgNZyFYRlsJh7dfXOkbaZEGNG8V1a0Uyqv1a8MS/MXyEDcpPFA==" saltValue="G3wkwbd5ofehcDIo1Bqrxg==" spinCount="100000" sqref="H4:J7 A8:I8 A1:E1 A3:E6 A2 C2:E2" name="Bereich1"/>
  </protectedRanges>
  <mergeCells count="1">
    <mergeCell ref="B8:I8"/>
  </mergeCells>
  <hyperlinks>
    <hyperlink ref="D1" location="'Inhaltsverzeichnis'!$A$1" display="Zurück zum Inhaltsverzeichnis" xr:uid="{D99F117F-5776-4B9F-8F50-95C83F3B7E6C}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2195-F7CB-43E8-9178-B8C659BFD17B}">
  <dimension ref="A1:J7"/>
  <sheetViews>
    <sheetView workbookViewId="0">
      <selection activeCell="B2" sqref="B2"/>
    </sheetView>
  </sheetViews>
  <sheetFormatPr baseColWidth="10" defaultRowHeight="15" x14ac:dyDescent="0.25"/>
  <cols>
    <col min="1" max="1" width="14.140625" customWidth="1"/>
    <col min="2" max="2" width="11" bestFit="1" customWidth="1"/>
    <col min="5" max="5" width="18.42578125" customWidth="1"/>
    <col min="6" max="6" width="11" bestFit="1" customWidth="1"/>
    <col min="7" max="7" width="6.7109375" bestFit="1" customWidth="1"/>
    <col min="10" max="10" width="10.5703125" bestFit="1" customWidth="1"/>
  </cols>
  <sheetData>
    <row r="1" spans="1:10" x14ac:dyDescent="0.25">
      <c r="A1" s="7" t="s">
        <v>124</v>
      </c>
      <c r="B1" s="7"/>
      <c r="C1" s="42"/>
      <c r="D1" s="43" t="s">
        <v>13</v>
      </c>
      <c r="E1" s="5"/>
      <c r="F1" s="5"/>
      <c r="G1" s="5"/>
      <c r="H1" s="5"/>
      <c r="I1" s="5"/>
      <c r="J1" s="5"/>
    </row>
    <row r="2" spans="1:10" x14ac:dyDescent="0.25">
      <c r="A2" s="7" t="s">
        <v>14</v>
      </c>
      <c r="B2" s="1" t="str">
        <f>IF(Inhaltsverzeichnis!B2="", "",Inhaltsverzeichnis!B2)</f>
        <v/>
      </c>
      <c r="C2" s="42"/>
      <c r="D2" s="7"/>
      <c r="E2" s="7"/>
      <c r="F2" s="7"/>
      <c r="G2" s="7"/>
      <c r="H2" s="7"/>
      <c r="I2" s="7"/>
      <c r="J2" s="7"/>
    </row>
    <row r="3" spans="1:10" x14ac:dyDescent="0.25">
      <c r="A3" s="7"/>
      <c r="B3" s="36"/>
      <c r="C3" s="42"/>
      <c r="D3" s="7"/>
      <c r="E3" s="7"/>
      <c r="F3" s="7"/>
      <c r="G3" s="7"/>
      <c r="H3" s="7"/>
      <c r="I3" s="7"/>
      <c r="J3" s="7"/>
    </row>
    <row r="4" spans="1:10" ht="42" x14ac:dyDescent="0.25">
      <c r="A4" s="44" t="s">
        <v>125</v>
      </c>
      <c r="B4" s="45" t="s">
        <v>126</v>
      </c>
      <c r="C4" s="45" t="s">
        <v>127</v>
      </c>
      <c r="D4" s="45" t="s">
        <v>128</v>
      </c>
      <c r="E4" s="45" t="s">
        <v>129</v>
      </c>
      <c r="F4" s="45" t="s">
        <v>130</v>
      </c>
      <c r="G4" s="45" t="s">
        <v>131</v>
      </c>
      <c r="H4" s="45" t="s">
        <v>132</v>
      </c>
      <c r="I4" s="46" t="s">
        <v>133</v>
      </c>
      <c r="J4" s="47" t="s">
        <v>134</v>
      </c>
    </row>
    <row r="5" spans="1:10" ht="21" x14ac:dyDescent="0.25">
      <c r="A5" s="39" t="s">
        <v>153</v>
      </c>
      <c r="B5" s="39" t="s">
        <v>135</v>
      </c>
      <c r="C5" s="48" t="s">
        <v>136</v>
      </c>
      <c r="D5" s="49">
        <v>67.09</v>
      </c>
      <c r="E5" s="49">
        <v>1</v>
      </c>
      <c r="F5" s="50"/>
      <c r="G5" s="50"/>
      <c r="H5" s="49" t="str">
        <f ca="1">'SVS GlasRG'!H61</f>
        <v/>
      </c>
      <c r="I5" s="51">
        <f t="shared" ref="I5" si="0">IF(F5="",0,ROUND((D5*E5/G5*H5)+F5,2))</f>
        <v>0</v>
      </c>
      <c r="J5" s="52" t="e">
        <f t="shared" ref="J5" si="1">D5/G5</f>
        <v>#DIV/0!</v>
      </c>
    </row>
    <row r="6" spans="1:10" x14ac:dyDescent="0.25">
      <c r="A6" s="5"/>
      <c r="B6" s="5"/>
      <c r="C6" s="53"/>
      <c r="D6" s="5"/>
      <c r="E6" s="5"/>
      <c r="F6" s="5"/>
      <c r="G6" s="5"/>
      <c r="H6" s="5"/>
      <c r="I6" s="52">
        <f>SUM(I5:I5)</f>
        <v>0</v>
      </c>
      <c r="J6" s="52" t="e">
        <f>SUM(J5:J5)</f>
        <v>#DIV/0!</v>
      </c>
    </row>
    <row r="7" spans="1:10" ht="51" customHeight="1" x14ac:dyDescent="0.25">
      <c r="A7" s="5"/>
      <c r="B7" s="83" t="s">
        <v>137</v>
      </c>
      <c r="C7" s="84"/>
      <c r="D7" s="84"/>
      <c r="E7" s="84"/>
      <c r="F7" s="84"/>
      <c r="G7" s="84"/>
      <c r="H7" s="84"/>
      <c r="I7" s="84"/>
      <c r="J7" s="5"/>
    </row>
  </sheetData>
  <sheetProtection algorithmName="SHA-512" hashValue="73bfT7advi+XseLum/5DtyGFbpiTRGBQn/945CXXIsMt2vuG3uFcllaV0UomZMl8hJH+ERx5vfEDEXJ38yGryw==" saltValue="cPqV2HDZTccPSZZSy3J89A==" spinCount="100000" sheet="1" objects="1" scenarios="1"/>
  <protectedRanges>
    <protectedRange algorithmName="SHA-512" hashValue="5kJH+2GPl+4F+w+IbgQg0oL8A00H2CduAbJMS2dkWIyJRbrd45Yq+ZWW7d6x6cBaKu4JnNgRbfM3NcHdSzAfnA==" saltValue="CD9FvtRPzme4vO1qUfGHPw==" spinCount="100000" sqref="B2" name="Bereich1_2"/>
    <protectedRange algorithmName="SHA-512" hashValue="MjusO/DeWELzcueH/3bkMbCcr9VdruHUm059VgNZyFYRlsJh7dfXOkbaZEGNG8V1a0Uyqv1a8MS/MXyEDcpPFA==" saltValue="G3wkwbd5ofehcDIo1Bqrxg==" spinCount="100000" sqref="A7:I7 A1:E1 H4:J6 A3:E5 A2 C2:E2" name="Bereich1"/>
  </protectedRanges>
  <mergeCells count="1">
    <mergeCell ref="B7:I7"/>
  </mergeCells>
  <hyperlinks>
    <hyperlink ref="D1" location="'Inhaltsverzeichnis'!$A$1" display="Zurück zum Inhaltsverzeichnis" xr:uid="{EE776793-CFDF-4501-AD34-2BFB1F82A958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F8A97-31B4-4A1E-BC1B-4107052123EE}">
  <dimension ref="A1:J9"/>
  <sheetViews>
    <sheetView workbookViewId="0">
      <selection activeCell="K17" sqref="K17"/>
    </sheetView>
  </sheetViews>
  <sheetFormatPr baseColWidth="10" defaultRowHeight="15" x14ac:dyDescent="0.25"/>
  <cols>
    <col min="1" max="1" width="14.140625" customWidth="1"/>
    <col min="2" max="2" width="11" bestFit="1" customWidth="1"/>
    <col min="5" max="5" width="18.42578125" customWidth="1"/>
    <col min="6" max="6" width="11" bestFit="1" customWidth="1"/>
    <col min="7" max="7" width="6.7109375" bestFit="1" customWidth="1"/>
    <col min="10" max="10" width="10.5703125" bestFit="1" customWidth="1"/>
  </cols>
  <sheetData>
    <row r="1" spans="1:10" x14ac:dyDescent="0.25">
      <c r="A1" s="7" t="s">
        <v>124</v>
      </c>
      <c r="B1" s="7"/>
      <c r="C1" s="42"/>
      <c r="D1" s="43" t="s">
        <v>13</v>
      </c>
      <c r="E1" s="5"/>
      <c r="F1" s="5"/>
      <c r="G1" s="5"/>
      <c r="H1" s="5"/>
      <c r="I1" s="5"/>
      <c r="J1" s="5"/>
    </row>
    <row r="2" spans="1:10" x14ac:dyDescent="0.25">
      <c r="A2" s="7" t="s">
        <v>14</v>
      </c>
      <c r="B2" s="1" t="str">
        <f>IF(Inhaltsverzeichnis!B2="", "",Inhaltsverzeichnis!B2)</f>
        <v/>
      </c>
      <c r="C2" s="42"/>
      <c r="D2" s="7"/>
      <c r="E2" s="7"/>
      <c r="F2" s="7"/>
      <c r="G2" s="7"/>
      <c r="H2" s="7"/>
      <c r="I2" s="7"/>
      <c r="J2" s="7"/>
    </row>
    <row r="3" spans="1:10" x14ac:dyDescent="0.25">
      <c r="A3" s="7"/>
      <c r="B3" s="36"/>
      <c r="C3" s="42"/>
      <c r="D3" s="7"/>
      <c r="E3" s="7"/>
      <c r="F3" s="7"/>
      <c r="G3" s="7"/>
      <c r="H3" s="7"/>
      <c r="I3" s="7"/>
      <c r="J3" s="7"/>
    </row>
    <row r="4" spans="1:10" ht="63" x14ac:dyDescent="0.25">
      <c r="A4" s="44" t="s">
        <v>125</v>
      </c>
      <c r="B4" s="45" t="s">
        <v>126</v>
      </c>
      <c r="C4" s="45" t="s">
        <v>127</v>
      </c>
      <c r="D4" s="45" t="s">
        <v>154</v>
      </c>
      <c r="E4" s="45" t="s">
        <v>129</v>
      </c>
      <c r="F4" s="45" t="s">
        <v>130</v>
      </c>
      <c r="G4" s="45" t="s">
        <v>131</v>
      </c>
      <c r="H4" s="45" t="s">
        <v>132</v>
      </c>
      <c r="I4" s="46" t="s">
        <v>133</v>
      </c>
      <c r="J4" s="47" t="s">
        <v>134</v>
      </c>
    </row>
    <row r="5" spans="1:10" ht="21" x14ac:dyDescent="0.25">
      <c r="A5" s="39" t="s">
        <v>158</v>
      </c>
      <c r="B5" s="39" t="s">
        <v>135</v>
      </c>
      <c r="C5" s="48" t="s">
        <v>136</v>
      </c>
      <c r="D5" s="49">
        <v>177.57</v>
      </c>
      <c r="E5" s="49">
        <v>1</v>
      </c>
      <c r="F5" s="50"/>
      <c r="G5" s="50"/>
      <c r="H5" s="49" t="str">
        <f ca="1">'SVS GlasRG'!H61</f>
        <v/>
      </c>
      <c r="I5" s="51">
        <f t="shared" ref="I5:I7" si="0">IF(F5="",0,ROUND((D5*E5/G5*H5)+F5,2))</f>
        <v>0</v>
      </c>
      <c r="J5" s="52" t="e">
        <f t="shared" ref="J5:J7" si="1">D5/G5</f>
        <v>#DIV/0!</v>
      </c>
    </row>
    <row r="6" spans="1:10" ht="21" x14ac:dyDescent="0.25">
      <c r="A6" s="39" t="s">
        <v>159</v>
      </c>
      <c r="B6" s="39" t="s">
        <v>135</v>
      </c>
      <c r="C6" s="48" t="s">
        <v>136</v>
      </c>
      <c r="D6" s="49">
        <v>9.81</v>
      </c>
      <c r="E6" s="49">
        <v>1</v>
      </c>
      <c r="F6" s="50"/>
      <c r="G6" s="50"/>
      <c r="H6" s="49" t="str">
        <f ca="1">'SVS GlasRG'!H61</f>
        <v/>
      </c>
      <c r="I6" s="51">
        <f t="shared" ref="I6" si="2">IF(F6="",0,ROUND((D6*E6/G6*H6)+F6,2))</f>
        <v>0</v>
      </c>
      <c r="J6" s="52" t="e">
        <f t="shared" ref="J6" si="3">D6/G6</f>
        <v>#DIV/0!</v>
      </c>
    </row>
    <row r="7" spans="1:10" ht="31.5" x14ac:dyDescent="0.25">
      <c r="A7" s="39" t="s">
        <v>155</v>
      </c>
      <c r="B7" s="39" t="s">
        <v>156</v>
      </c>
      <c r="C7" s="48" t="s">
        <v>136</v>
      </c>
      <c r="D7" s="49">
        <v>24</v>
      </c>
      <c r="E7" s="49">
        <v>1</v>
      </c>
      <c r="F7" s="50"/>
      <c r="G7" s="50"/>
      <c r="H7" s="49" t="str">
        <f ca="1">'SVS GlasRG'!H61</f>
        <v/>
      </c>
      <c r="I7" s="51">
        <f t="shared" si="0"/>
        <v>0</v>
      </c>
      <c r="J7" s="52" t="e">
        <f t="shared" si="1"/>
        <v>#DIV/0!</v>
      </c>
    </row>
    <row r="8" spans="1:10" x14ac:dyDescent="0.25">
      <c r="A8" s="5"/>
      <c r="B8" s="5"/>
      <c r="C8" s="53"/>
      <c r="D8" s="5"/>
      <c r="E8" s="5"/>
      <c r="F8" s="5"/>
      <c r="G8" s="5"/>
      <c r="H8" s="5"/>
      <c r="I8" s="52">
        <f>SUM(I5:I7)</f>
        <v>0</v>
      </c>
      <c r="J8" s="52" t="e">
        <f>SUM(J5:J7)</f>
        <v>#DIV/0!</v>
      </c>
    </row>
    <row r="9" spans="1:10" ht="51" customHeight="1" x14ac:dyDescent="0.25">
      <c r="A9" s="5"/>
      <c r="B9" s="83" t="s">
        <v>137</v>
      </c>
      <c r="C9" s="84"/>
      <c r="D9" s="84"/>
      <c r="E9" s="84"/>
      <c r="F9" s="84"/>
      <c r="G9" s="84"/>
      <c r="H9" s="84"/>
      <c r="I9" s="84"/>
      <c r="J9" s="5"/>
    </row>
  </sheetData>
  <sheetProtection algorithmName="SHA-512" hashValue="zZQ99Vup5CNO9GB8+G/hWfAzC2qItYE3xHf8NHZvSUaA7wizsMbiTFA7rVfAu1SsKbMQzbQqv8R2CORiDQBoaw==" saltValue="3uRG+ZZZSKhgjKib95b++A==" spinCount="100000" sheet="1" objects="1" scenarios="1"/>
  <protectedRanges>
    <protectedRange algorithmName="SHA-512" hashValue="5kJH+2GPl+4F+w+IbgQg0oL8A00H2CduAbJMS2dkWIyJRbrd45Yq+ZWW7d6x6cBaKu4JnNgRbfM3NcHdSzAfnA==" saltValue="CD9FvtRPzme4vO1qUfGHPw==" spinCount="100000" sqref="B2" name="Bereich1_2"/>
    <protectedRange algorithmName="SHA-512" hashValue="MjusO/DeWELzcueH/3bkMbCcr9VdruHUm059VgNZyFYRlsJh7dfXOkbaZEGNG8V1a0Uyqv1a8MS/MXyEDcpPFA==" saltValue="G3wkwbd5ofehcDIo1Bqrxg==" spinCount="100000" sqref="A9:I9 H4:J8 A1:E1 A3:E7 A2 C2:E2" name="Bereich1"/>
  </protectedRanges>
  <mergeCells count="1">
    <mergeCell ref="B9:I9"/>
  </mergeCells>
  <phoneticPr fontId="13" type="noConversion"/>
  <hyperlinks>
    <hyperlink ref="D1" location="'Inhaltsverzeichnis'!$A$1" display="Zurück zum Inhaltsverzeichnis" xr:uid="{44D70142-CAF7-40C8-8489-2DAB2216BB1B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4C5E-2A53-4D49-BBBE-13CBAB42D36C}">
  <sheetPr>
    <pageSetUpPr fitToPage="1"/>
  </sheetPr>
  <dimension ref="A1:J79"/>
  <sheetViews>
    <sheetView tabSelected="1" workbookViewId="0">
      <selection activeCell="M23" sqref="M23"/>
    </sheetView>
  </sheetViews>
  <sheetFormatPr baseColWidth="10" defaultRowHeight="15" x14ac:dyDescent="0.25"/>
  <cols>
    <col min="1" max="1" width="13.28515625" style="64" customWidth="1"/>
    <col min="2" max="2" width="13.28515625" style="64" bestFit="1" customWidth="1"/>
    <col min="3" max="3" width="11.5703125" style="64" bestFit="1" customWidth="1"/>
    <col min="4" max="4" width="13" style="64" bestFit="1" customWidth="1"/>
    <col min="5" max="5" width="19" style="64" bestFit="1" customWidth="1"/>
    <col min="6" max="6" width="15.85546875" style="64" bestFit="1" customWidth="1"/>
    <col min="7" max="7" width="14.42578125" style="64" bestFit="1" customWidth="1"/>
    <col min="8" max="8" width="14.140625" style="64" bestFit="1" customWidth="1"/>
    <col min="9" max="9" width="10.28515625" style="64" bestFit="1" customWidth="1"/>
    <col min="10" max="10" width="15.28515625" style="64" bestFit="1" customWidth="1"/>
  </cols>
  <sheetData>
    <row r="1" spans="1:10" x14ac:dyDescent="0.25">
      <c r="A1" s="63" t="s">
        <v>165</v>
      </c>
    </row>
    <row r="3" spans="1:10" s="67" customFormat="1" x14ac:dyDescent="0.25">
      <c r="A3" s="65" t="s">
        <v>166</v>
      </c>
      <c r="B3" s="65" t="s">
        <v>167</v>
      </c>
      <c r="C3" s="65" t="s">
        <v>168</v>
      </c>
      <c r="D3" s="66" t="s">
        <v>169</v>
      </c>
      <c r="E3" s="66" t="s">
        <v>170</v>
      </c>
      <c r="F3" s="66" t="s">
        <v>171</v>
      </c>
      <c r="G3" s="66" t="s">
        <v>172</v>
      </c>
      <c r="H3" s="66" t="s">
        <v>173</v>
      </c>
      <c r="I3" s="66" t="s">
        <v>174</v>
      </c>
      <c r="J3" s="66" t="s">
        <v>175</v>
      </c>
    </row>
    <row r="4" spans="1:10" s="64" customFormat="1" x14ac:dyDescent="0.25">
      <c r="A4" s="68" t="s">
        <v>176</v>
      </c>
      <c r="B4" s="68" t="s">
        <v>177</v>
      </c>
      <c r="C4" s="68" t="s">
        <v>178</v>
      </c>
      <c r="D4" s="68" t="s">
        <v>179</v>
      </c>
      <c r="E4" s="68" t="s">
        <v>180</v>
      </c>
      <c r="F4" s="68" t="s">
        <v>181</v>
      </c>
      <c r="G4" s="68" t="s">
        <v>182</v>
      </c>
      <c r="H4" s="69">
        <f>1.71*1.76</f>
        <v>3.0095999999999998</v>
      </c>
      <c r="I4" s="68">
        <v>4</v>
      </c>
      <c r="J4" s="69">
        <f t="shared" ref="J4:J67" si="0">H4*I4</f>
        <v>12.038399999999999</v>
      </c>
    </row>
    <row r="5" spans="1:10" x14ac:dyDescent="0.25">
      <c r="A5" s="68" t="s">
        <v>176</v>
      </c>
      <c r="B5" s="68" t="s">
        <v>177</v>
      </c>
      <c r="C5" s="68" t="s">
        <v>178</v>
      </c>
      <c r="D5" s="68" t="s">
        <v>179</v>
      </c>
      <c r="E5" s="68" t="s">
        <v>183</v>
      </c>
      <c r="F5" s="68" t="s">
        <v>181</v>
      </c>
      <c r="G5" s="68" t="s">
        <v>184</v>
      </c>
      <c r="H5" s="69">
        <f>0.8*1.5</f>
        <v>1.2000000000000002</v>
      </c>
      <c r="I5" s="68">
        <v>1</v>
      </c>
      <c r="J5" s="69">
        <f t="shared" si="0"/>
        <v>1.2000000000000002</v>
      </c>
    </row>
    <row r="6" spans="1:10" x14ac:dyDescent="0.25">
      <c r="A6" s="68" t="s">
        <v>176</v>
      </c>
      <c r="B6" s="68" t="s">
        <v>185</v>
      </c>
      <c r="C6" s="68" t="s">
        <v>178</v>
      </c>
      <c r="D6" s="68" t="s">
        <v>179</v>
      </c>
      <c r="E6" s="68" t="s">
        <v>186</v>
      </c>
      <c r="F6" s="68" t="s">
        <v>181</v>
      </c>
      <c r="G6" s="68" t="s">
        <v>187</v>
      </c>
      <c r="H6" s="69">
        <f>1.7*1.97</f>
        <v>3.3489999999999998</v>
      </c>
      <c r="I6" s="68">
        <v>1</v>
      </c>
      <c r="J6" s="69">
        <f t="shared" si="0"/>
        <v>3.3489999999999998</v>
      </c>
    </row>
    <row r="7" spans="1:10" x14ac:dyDescent="0.25">
      <c r="A7" s="68" t="s">
        <v>176</v>
      </c>
      <c r="B7" s="68" t="s">
        <v>185</v>
      </c>
      <c r="C7" s="68" t="s">
        <v>178</v>
      </c>
      <c r="D7" s="68" t="s">
        <v>179</v>
      </c>
      <c r="E7" s="68" t="s">
        <v>186</v>
      </c>
      <c r="F7" s="68" t="s">
        <v>181</v>
      </c>
      <c r="G7" s="68" t="s">
        <v>188</v>
      </c>
      <c r="H7" s="69">
        <f>1.83*1.77</f>
        <v>3.2391000000000001</v>
      </c>
      <c r="I7" s="68">
        <v>3</v>
      </c>
      <c r="J7" s="69">
        <f t="shared" si="0"/>
        <v>9.7172999999999998</v>
      </c>
    </row>
    <row r="8" spans="1:10" x14ac:dyDescent="0.25">
      <c r="A8" s="68" t="s">
        <v>176</v>
      </c>
      <c r="B8" s="68" t="s">
        <v>185</v>
      </c>
      <c r="C8" s="68" t="s">
        <v>178</v>
      </c>
      <c r="D8" s="68" t="s">
        <v>179</v>
      </c>
      <c r="E8" s="68" t="s">
        <v>189</v>
      </c>
      <c r="F8" s="68" t="s">
        <v>181</v>
      </c>
      <c r="G8" s="68" t="s">
        <v>190</v>
      </c>
      <c r="H8" s="69">
        <f>1.83*0.6</f>
        <v>1.0980000000000001</v>
      </c>
      <c r="I8" s="68">
        <v>4</v>
      </c>
      <c r="J8" s="69">
        <f t="shared" si="0"/>
        <v>4.3920000000000003</v>
      </c>
    </row>
    <row r="9" spans="1:10" x14ac:dyDescent="0.25">
      <c r="A9" s="68" t="s">
        <v>191</v>
      </c>
      <c r="B9" s="68" t="s">
        <v>177</v>
      </c>
      <c r="C9" s="68" t="s">
        <v>178</v>
      </c>
      <c r="D9" s="70" t="s">
        <v>179</v>
      </c>
      <c r="E9" s="68" t="s">
        <v>180</v>
      </c>
      <c r="F9" s="68" t="s">
        <v>181</v>
      </c>
      <c r="G9" s="68" t="s">
        <v>192</v>
      </c>
      <c r="H9" s="69">
        <f>1.23*1.78</f>
        <v>2.1894</v>
      </c>
      <c r="I9" s="68">
        <v>5</v>
      </c>
      <c r="J9" s="69">
        <f t="shared" si="0"/>
        <v>10.946999999999999</v>
      </c>
    </row>
    <row r="10" spans="1:10" x14ac:dyDescent="0.25">
      <c r="A10" s="68" t="s">
        <v>191</v>
      </c>
      <c r="B10" s="68" t="s">
        <v>177</v>
      </c>
      <c r="C10" s="68" t="s">
        <v>178</v>
      </c>
      <c r="D10" s="70" t="s">
        <v>179</v>
      </c>
      <c r="E10" s="68" t="s">
        <v>180</v>
      </c>
      <c r="F10" s="68" t="s">
        <v>181</v>
      </c>
      <c r="G10" s="68" t="s">
        <v>193</v>
      </c>
      <c r="H10" s="69">
        <f>0.95*1.17</f>
        <v>1.1114999999999999</v>
      </c>
      <c r="I10" s="68">
        <v>6</v>
      </c>
      <c r="J10" s="69">
        <f t="shared" si="0"/>
        <v>6.6689999999999996</v>
      </c>
    </row>
    <row r="11" spans="1:10" x14ac:dyDescent="0.25">
      <c r="A11" s="68" t="s">
        <v>191</v>
      </c>
      <c r="B11" s="68" t="s">
        <v>185</v>
      </c>
      <c r="C11" s="68" t="s">
        <v>178</v>
      </c>
      <c r="D11" s="70" t="s">
        <v>179</v>
      </c>
      <c r="E11" s="68" t="s">
        <v>180</v>
      </c>
      <c r="F11" s="68" t="s">
        <v>181</v>
      </c>
      <c r="G11" s="68" t="s">
        <v>194</v>
      </c>
      <c r="H11" s="69">
        <f>1.23*1.55</f>
        <v>1.9065000000000001</v>
      </c>
      <c r="I11" s="68">
        <v>5</v>
      </c>
      <c r="J11" s="69">
        <f t="shared" si="0"/>
        <v>9.5325000000000006</v>
      </c>
    </row>
    <row r="12" spans="1:10" x14ac:dyDescent="0.25">
      <c r="A12" s="68" t="s">
        <v>191</v>
      </c>
      <c r="B12" s="68" t="s">
        <v>185</v>
      </c>
      <c r="C12" s="68" t="s">
        <v>178</v>
      </c>
      <c r="D12" s="70" t="s">
        <v>179</v>
      </c>
      <c r="E12" s="68" t="s">
        <v>180</v>
      </c>
      <c r="F12" s="68" t="s">
        <v>181</v>
      </c>
      <c r="G12" s="68" t="s">
        <v>193</v>
      </c>
      <c r="H12" s="69">
        <f>0.95*1.17</f>
        <v>1.1114999999999999</v>
      </c>
      <c r="I12" s="68">
        <v>6</v>
      </c>
      <c r="J12" s="69">
        <f t="shared" si="0"/>
        <v>6.6689999999999996</v>
      </c>
    </row>
    <row r="13" spans="1:10" x14ac:dyDescent="0.25">
      <c r="A13" s="68" t="s">
        <v>195</v>
      </c>
      <c r="B13" s="68" t="s">
        <v>177</v>
      </c>
      <c r="C13" s="68" t="s">
        <v>178</v>
      </c>
      <c r="D13" s="70" t="s">
        <v>179</v>
      </c>
      <c r="E13" s="68" t="s">
        <v>180</v>
      </c>
      <c r="F13" s="68" t="s">
        <v>181</v>
      </c>
      <c r="G13" s="68" t="s">
        <v>182</v>
      </c>
      <c r="H13" s="69">
        <f>1.71*1.76</f>
        <v>3.0095999999999998</v>
      </c>
      <c r="I13" s="68">
        <v>2</v>
      </c>
      <c r="J13" s="69">
        <f t="shared" si="0"/>
        <v>6.0191999999999997</v>
      </c>
    </row>
    <row r="14" spans="1:10" x14ac:dyDescent="0.25">
      <c r="A14" s="68" t="s">
        <v>195</v>
      </c>
      <c r="B14" s="68" t="s">
        <v>177</v>
      </c>
      <c r="C14" s="68" t="s">
        <v>178</v>
      </c>
      <c r="D14" s="70" t="s">
        <v>179</v>
      </c>
      <c r="E14" s="68" t="s">
        <v>196</v>
      </c>
      <c r="F14" s="68" t="s">
        <v>181</v>
      </c>
      <c r="G14" s="68" t="s">
        <v>197</v>
      </c>
      <c r="H14" s="69">
        <f>1.35*2.69</f>
        <v>3.6315</v>
      </c>
      <c r="I14" s="68">
        <v>1</v>
      </c>
      <c r="J14" s="69">
        <f t="shared" si="0"/>
        <v>3.6315</v>
      </c>
    </row>
    <row r="15" spans="1:10" x14ac:dyDescent="0.25">
      <c r="A15" s="68" t="s">
        <v>195</v>
      </c>
      <c r="B15" s="68" t="s">
        <v>185</v>
      </c>
      <c r="C15" s="68" t="s">
        <v>178</v>
      </c>
      <c r="D15" s="70" t="s">
        <v>179</v>
      </c>
      <c r="E15" s="68" t="s">
        <v>180</v>
      </c>
      <c r="F15" s="70" t="s">
        <v>181</v>
      </c>
      <c r="G15" s="70" t="s">
        <v>198</v>
      </c>
      <c r="H15" s="69">
        <f>1.19*1.2</f>
        <v>1.4279999999999999</v>
      </c>
      <c r="I15" s="70">
        <v>3</v>
      </c>
      <c r="J15" s="69">
        <f t="shared" si="0"/>
        <v>4.2839999999999998</v>
      </c>
    </row>
    <row r="16" spans="1:10" x14ac:dyDescent="0.25">
      <c r="A16" s="68" t="s">
        <v>195</v>
      </c>
      <c r="B16" s="68" t="s">
        <v>185</v>
      </c>
      <c r="C16" s="68" t="s">
        <v>178</v>
      </c>
      <c r="D16" s="70" t="s">
        <v>179</v>
      </c>
      <c r="E16" s="68" t="s">
        <v>196</v>
      </c>
      <c r="F16" s="68" t="s">
        <v>181</v>
      </c>
      <c r="G16" s="68" t="s">
        <v>199</v>
      </c>
      <c r="H16" s="69">
        <f>1.35*2.01</f>
        <v>2.7134999999999998</v>
      </c>
      <c r="I16" s="68">
        <v>1</v>
      </c>
      <c r="J16" s="69">
        <f t="shared" si="0"/>
        <v>2.7134999999999998</v>
      </c>
    </row>
    <row r="17" spans="1:10" x14ac:dyDescent="0.25">
      <c r="A17" s="68" t="s">
        <v>195</v>
      </c>
      <c r="B17" s="68" t="s">
        <v>200</v>
      </c>
      <c r="C17" s="68" t="s">
        <v>178</v>
      </c>
      <c r="D17" s="70" t="s">
        <v>179</v>
      </c>
      <c r="E17" s="68" t="s">
        <v>189</v>
      </c>
      <c r="F17" s="70" t="s">
        <v>181</v>
      </c>
      <c r="G17" s="70" t="s">
        <v>201</v>
      </c>
      <c r="H17" s="69">
        <f>0.5*0.96</f>
        <v>0.48</v>
      </c>
      <c r="I17" s="70">
        <v>3</v>
      </c>
      <c r="J17" s="69">
        <f t="shared" si="0"/>
        <v>1.44</v>
      </c>
    </row>
    <row r="18" spans="1:10" x14ac:dyDescent="0.25">
      <c r="A18" s="68" t="s">
        <v>202</v>
      </c>
      <c r="B18" s="68" t="s">
        <v>177</v>
      </c>
      <c r="C18" s="68" t="s">
        <v>178</v>
      </c>
      <c r="D18" s="68" t="s">
        <v>179</v>
      </c>
      <c r="E18" s="68" t="s">
        <v>180</v>
      </c>
      <c r="F18" s="68" t="s">
        <v>181</v>
      </c>
      <c r="G18" s="68" t="s">
        <v>203</v>
      </c>
      <c r="H18" s="69">
        <f>1.82*1.68</f>
        <v>3.0575999999999999</v>
      </c>
      <c r="I18" s="68">
        <v>12</v>
      </c>
      <c r="J18" s="69">
        <f t="shared" si="0"/>
        <v>36.691199999999995</v>
      </c>
    </row>
    <row r="19" spans="1:10" x14ac:dyDescent="0.25">
      <c r="A19" s="68" t="s">
        <v>202</v>
      </c>
      <c r="B19" s="68" t="s">
        <v>177</v>
      </c>
      <c r="C19" s="68" t="s">
        <v>178</v>
      </c>
      <c r="D19" s="68" t="s">
        <v>179</v>
      </c>
      <c r="E19" s="68" t="s">
        <v>204</v>
      </c>
      <c r="F19" s="68" t="s">
        <v>181</v>
      </c>
      <c r="G19" s="68" t="s">
        <v>205</v>
      </c>
      <c r="H19" s="69">
        <f>4.12*2.62</f>
        <v>10.794400000000001</v>
      </c>
      <c r="I19" s="68">
        <v>1</v>
      </c>
      <c r="J19" s="69">
        <f t="shared" si="0"/>
        <v>10.794400000000001</v>
      </c>
    </row>
    <row r="20" spans="1:10" x14ac:dyDescent="0.25">
      <c r="A20" s="68" t="s">
        <v>202</v>
      </c>
      <c r="B20" s="68" t="s">
        <v>185</v>
      </c>
      <c r="C20" s="68" t="s">
        <v>178</v>
      </c>
      <c r="D20" s="68" t="s">
        <v>179</v>
      </c>
      <c r="E20" s="68" t="s">
        <v>180</v>
      </c>
      <c r="F20" s="68" t="s">
        <v>181</v>
      </c>
      <c r="G20" s="68" t="s">
        <v>203</v>
      </c>
      <c r="H20" s="69">
        <f>1.82*1.68</f>
        <v>3.0575999999999999</v>
      </c>
      <c r="I20" s="68">
        <v>12</v>
      </c>
      <c r="J20" s="69">
        <f t="shared" si="0"/>
        <v>36.691199999999995</v>
      </c>
    </row>
    <row r="21" spans="1:10" x14ac:dyDescent="0.25">
      <c r="A21" s="68" t="s">
        <v>202</v>
      </c>
      <c r="B21" s="68" t="s">
        <v>185</v>
      </c>
      <c r="C21" s="68" t="s">
        <v>178</v>
      </c>
      <c r="D21" s="68" t="s">
        <v>179</v>
      </c>
      <c r="E21" s="68" t="s">
        <v>206</v>
      </c>
      <c r="F21" s="68" t="s">
        <v>181</v>
      </c>
      <c r="G21" s="68" t="s">
        <v>205</v>
      </c>
      <c r="H21" s="69">
        <f>4.12*2.62</f>
        <v>10.794400000000001</v>
      </c>
      <c r="I21" s="68">
        <v>1</v>
      </c>
      <c r="J21" s="69">
        <f t="shared" si="0"/>
        <v>10.794400000000001</v>
      </c>
    </row>
    <row r="22" spans="1:10" x14ac:dyDescent="0.25">
      <c r="A22" s="68"/>
      <c r="B22" s="68" t="s">
        <v>177</v>
      </c>
      <c r="C22" s="68" t="s">
        <v>178</v>
      </c>
      <c r="D22" s="68" t="s">
        <v>207</v>
      </c>
      <c r="E22" s="68" t="s">
        <v>208</v>
      </c>
      <c r="F22" s="68" t="s">
        <v>181</v>
      </c>
      <c r="G22" s="68" t="s">
        <v>209</v>
      </c>
      <c r="H22" s="69">
        <f>2.1+2.69</f>
        <v>4.79</v>
      </c>
      <c r="I22" s="68">
        <v>1</v>
      </c>
      <c r="J22" s="69">
        <f t="shared" si="0"/>
        <v>4.79</v>
      </c>
    </row>
    <row r="23" spans="1:10" x14ac:dyDescent="0.25">
      <c r="A23" s="68"/>
      <c r="B23" s="68" t="s">
        <v>185</v>
      </c>
      <c r="C23" s="68" t="s">
        <v>178</v>
      </c>
      <c r="D23" s="68" t="s">
        <v>207</v>
      </c>
      <c r="E23" s="68" t="s">
        <v>208</v>
      </c>
      <c r="F23" s="68" t="s">
        <v>181</v>
      </c>
      <c r="G23" s="68" t="s">
        <v>210</v>
      </c>
      <c r="H23" s="69">
        <f>2.1+2.92</f>
        <v>5.0199999999999996</v>
      </c>
      <c r="I23" s="68">
        <v>1</v>
      </c>
      <c r="J23" s="69">
        <f t="shared" si="0"/>
        <v>5.0199999999999996</v>
      </c>
    </row>
    <row r="24" spans="1:10" x14ac:dyDescent="0.25">
      <c r="A24" s="68" t="s">
        <v>176</v>
      </c>
      <c r="B24" s="68" t="s">
        <v>211</v>
      </c>
      <c r="C24" s="68" t="s">
        <v>212</v>
      </c>
      <c r="D24" s="70" t="s">
        <v>179</v>
      </c>
      <c r="E24" s="70" t="s">
        <v>213</v>
      </c>
      <c r="F24" s="70" t="s">
        <v>181</v>
      </c>
      <c r="G24" s="70" t="s">
        <v>214</v>
      </c>
      <c r="H24" s="69">
        <f>1.17*(1.39+1.51)/2</f>
        <v>1.6964999999999999</v>
      </c>
      <c r="I24" s="70">
        <v>4</v>
      </c>
      <c r="J24" s="69">
        <f t="shared" si="0"/>
        <v>6.7859999999999996</v>
      </c>
    </row>
    <row r="25" spans="1:10" x14ac:dyDescent="0.25">
      <c r="A25" s="68" t="s">
        <v>176</v>
      </c>
      <c r="B25" s="68" t="s">
        <v>177</v>
      </c>
      <c r="C25" s="68" t="s">
        <v>212</v>
      </c>
      <c r="D25" s="68" t="s">
        <v>179</v>
      </c>
      <c r="E25" s="68" t="s">
        <v>215</v>
      </c>
      <c r="F25" s="68" t="s">
        <v>181</v>
      </c>
      <c r="G25" s="68" t="s">
        <v>216</v>
      </c>
      <c r="H25" s="69">
        <f>1.75*(2.1+2.35)/2</f>
        <v>3.8937500000000003</v>
      </c>
      <c r="I25" s="68">
        <v>4</v>
      </c>
      <c r="J25" s="69">
        <f t="shared" si="0"/>
        <v>15.575000000000001</v>
      </c>
    </row>
    <row r="26" spans="1:10" x14ac:dyDescent="0.25">
      <c r="A26" s="68" t="s">
        <v>176</v>
      </c>
      <c r="B26" s="68" t="s">
        <v>177</v>
      </c>
      <c r="C26" s="68" t="s">
        <v>212</v>
      </c>
      <c r="D26" s="68" t="s">
        <v>179</v>
      </c>
      <c r="E26" s="68" t="s">
        <v>215</v>
      </c>
      <c r="F26" s="68" t="s">
        <v>181</v>
      </c>
      <c r="G26" s="68" t="s">
        <v>217</v>
      </c>
      <c r="H26" s="69">
        <f>1.8*(2.1+2.36)/2</f>
        <v>4.0140000000000002</v>
      </c>
      <c r="I26" s="68">
        <v>4</v>
      </c>
      <c r="J26" s="69">
        <f t="shared" si="0"/>
        <v>16.056000000000001</v>
      </c>
    </row>
    <row r="27" spans="1:10" x14ac:dyDescent="0.25">
      <c r="A27" s="68" t="s">
        <v>176</v>
      </c>
      <c r="B27" s="68" t="s">
        <v>177</v>
      </c>
      <c r="C27" s="68" t="s">
        <v>212</v>
      </c>
      <c r="D27" s="68" t="s">
        <v>179</v>
      </c>
      <c r="E27" s="68" t="s">
        <v>218</v>
      </c>
      <c r="F27" s="68" t="s">
        <v>181</v>
      </c>
      <c r="G27" s="68" t="s">
        <v>219</v>
      </c>
      <c r="H27" s="69">
        <f>2.35*(2.04+2.22)/2</f>
        <v>5.0054999999999996</v>
      </c>
      <c r="I27" s="68">
        <v>6</v>
      </c>
      <c r="J27" s="69">
        <f t="shared" si="0"/>
        <v>30.032999999999998</v>
      </c>
    </row>
    <row r="28" spans="1:10" x14ac:dyDescent="0.25">
      <c r="A28" s="68" t="s">
        <v>176</v>
      </c>
      <c r="B28" s="68" t="s">
        <v>177</v>
      </c>
      <c r="C28" s="68" t="s">
        <v>212</v>
      </c>
      <c r="D28" s="68" t="s">
        <v>179</v>
      </c>
      <c r="E28" s="68" t="s">
        <v>220</v>
      </c>
      <c r="F28" s="68" t="s">
        <v>181</v>
      </c>
      <c r="G28" s="68" t="s">
        <v>221</v>
      </c>
      <c r="H28" s="69">
        <f>3.1516*0.9*1.08/2</f>
        <v>1.5316776000000001</v>
      </c>
      <c r="I28" s="68">
        <v>2</v>
      </c>
      <c r="J28" s="69">
        <f t="shared" si="0"/>
        <v>3.0633552000000002</v>
      </c>
    </row>
    <row r="29" spans="1:10" x14ac:dyDescent="0.25">
      <c r="A29" s="68" t="s">
        <v>176</v>
      </c>
      <c r="B29" s="68" t="s">
        <v>177</v>
      </c>
      <c r="C29" s="68" t="s">
        <v>212</v>
      </c>
      <c r="D29" s="68" t="s">
        <v>179</v>
      </c>
      <c r="E29" s="68" t="s">
        <v>222</v>
      </c>
      <c r="F29" s="68" t="s">
        <v>181</v>
      </c>
      <c r="G29" s="68" t="s">
        <v>223</v>
      </c>
      <c r="H29" s="69">
        <f>1.71*1.77</f>
        <v>3.0266999999999999</v>
      </c>
      <c r="I29" s="68">
        <v>1</v>
      </c>
      <c r="J29" s="69">
        <f t="shared" si="0"/>
        <v>3.0266999999999999</v>
      </c>
    </row>
    <row r="30" spans="1:10" x14ac:dyDescent="0.25">
      <c r="A30" s="68" t="s">
        <v>176</v>
      </c>
      <c r="B30" s="68" t="s">
        <v>177</v>
      </c>
      <c r="C30" s="68" t="s">
        <v>212</v>
      </c>
      <c r="D30" s="68" t="s">
        <v>179</v>
      </c>
      <c r="E30" s="68" t="s">
        <v>183</v>
      </c>
      <c r="F30" s="68" t="s">
        <v>181</v>
      </c>
      <c r="G30" s="68" t="s">
        <v>184</v>
      </c>
      <c r="H30" s="69">
        <f>0.8*1.5</f>
        <v>1.2000000000000002</v>
      </c>
      <c r="I30" s="68">
        <v>1</v>
      </c>
      <c r="J30" s="69">
        <f t="shared" si="0"/>
        <v>1.2000000000000002</v>
      </c>
    </row>
    <row r="31" spans="1:10" x14ac:dyDescent="0.25">
      <c r="A31" s="68" t="s">
        <v>176</v>
      </c>
      <c r="B31" s="68" t="s">
        <v>185</v>
      </c>
      <c r="C31" s="68" t="s">
        <v>212</v>
      </c>
      <c r="D31" s="68" t="s">
        <v>179</v>
      </c>
      <c r="E31" s="68" t="s">
        <v>215</v>
      </c>
      <c r="F31" s="68" t="s">
        <v>181</v>
      </c>
      <c r="G31" s="68" t="s">
        <v>224</v>
      </c>
      <c r="H31" s="69">
        <f>1.76*(2.15+2.38)/2</f>
        <v>3.9863999999999993</v>
      </c>
      <c r="I31" s="68">
        <v>4</v>
      </c>
      <c r="J31" s="69">
        <f t="shared" si="0"/>
        <v>15.945599999999997</v>
      </c>
    </row>
    <row r="32" spans="1:10" x14ac:dyDescent="0.25">
      <c r="A32" s="68" t="s">
        <v>176</v>
      </c>
      <c r="B32" s="68" t="s">
        <v>185</v>
      </c>
      <c r="C32" s="68" t="s">
        <v>212</v>
      </c>
      <c r="D32" s="68" t="s">
        <v>179</v>
      </c>
      <c r="E32" s="68" t="s">
        <v>215</v>
      </c>
      <c r="F32" s="68" t="s">
        <v>181</v>
      </c>
      <c r="G32" s="68" t="s">
        <v>225</v>
      </c>
      <c r="H32" s="69">
        <f>1.73*(2.11+2.35)/2</f>
        <v>3.8578999999999999</v>
      </c>
      <c r="I32" s="68">
        <v>4</v>
      </c>
      <c r="J32" s="69">
        <f t="shared" si="0"/>
        <v>15.4316</v>
      </c>
    </row>
    <row r="33" spans="1:10" x14ac:dyDescent="0.25">
      <c r="A33" s="68" t="s">
        <v>176</v>
      </c>
      <c r="B33" s="68" t="s">
        <v>185</v>
      </c>
      <c r="C33" s="68" t="s">
        <v>212</v>
      </c>
      <c r="D33" s="68" t="s">
        <v>179</v>
      </c>
      <c r="E33" s="68" t="s">
        <v>218</v>
      </c>
      <c r="F33" s="68" t="s">
        <v>181</v>
      </c>
      <c r="G33" s="68" t="s">
        <v>226</v>
      </c>
      <c r="H33" s="69">
        <f>2.35*(2.04+2.23)/2</f>
        <v>5.0172499999999998</v>
      </c>
      <c r="I33" s="68">
        <v>6</v>
      </c>
      <c r="J33" s="69">
        <f t="shared" si="0"/>
        <v>30.103499999999997</v>
      </c>
    </row>
    <row r="34" spans="1:10" x14ac:dyDescent="0.25">
      <c r="A34" s="68" t="s">
        <v>176</v>
      </c>
      <c r="B34" s="68" t="s">
        <v>185</v>
      </c>
      <c r="C34" s="68" t="s">
        <v>212</v>
      </c>
      <c r="D34" s="68" t="s">
        <v>179</v>
      </c>
      <c r="E34" s="68" t="s">
        <v>227</v>
      </c>
      <c r="F34" s="68" t="s">
        <v>181</v>
      </c>
      <c r="G34" s="68" t="s">
        <v>228</v>
      </c>
      <c r="H34" s="69">
        <f>0.9*1.74</f>
        <v>1.5660000000000001</v>
      </c>
      <c r="I34" s="68">
        <v>4</v>
      </c>
      <c r="J34" s="69">
        <f t="shared" si="0"/>
        <v>6.2640000000000002</v>
      </c>
    </row>
    <row r="35" spans="1:10" x14ac:dyDescent="0.25">
      <c r="A35" s="68" t="s">
        <v>176</v>
      </c>
      <c r="B35" s="68" t="s">
        <v>200</v>
      </c>
      <c r="C35" s="68" t="s">
        <v>212</v>
      </c>
      <c r="D35" s="68" t="s">
        <v>179</v>
      </c>
      <c r="E35" s="68" t="s">
        <v>215</v>
      </c>
      <c r="F35" s="68" t="s">
        <v>181</v>
      </c>
      <c r="G35" s="68" t="s">
        <v>229</v>
      </c>
      <c r="H35" s="69">
        <f>1.64*2.49</f>
        <v>4.0835999999999997</v>
      </c>
      <c r="I35" s="68">
        <v>4</v>
      </c>
      <c r="J35" s="69">
        <f t="shared" si="0"/>
        <v>16.334399999999999</v>
      </c>
    </row>
    <row r="36" spans="1:10" x14ac:dyDescent="0.25">
      <c r="A36" s="68" t="s">
        <v>176</v>
      </c>
      <c r="B36" s="68" t="s">
        <v>200</v>
      </c>
      <c r="C36" s="68" t="s">
        <v>212</v>
      </c>
      <c r="D36" s="68" t="s">
        <v>179</v>
      </c>
      <c r="E36" s="68" t="s">
        <v>215</v>
      </c>
      <c r="F36" s="68" t="s">
        <v>181</v>
      </c>
      <c r="G36" s="68" t="s">
        <v>230</v>
      </c>
      <c r="H36" s="69">
        <f>1.64*2.35</f>
        <v>3.8540000000000001</v>
      </c>
      <c r="I36" s="68">
        <v>4</v>
      </c>
      <c r="J36" s="69">
        <f t="shared" si="0"/>
        <v>15.416</v>
      </c>
    </row>
    <row r="37" spans="1:10" x14ac:dyDescent="0.25">
      <c r="A37" s="68" t="s">
        <v>176</v>
      </c>
      <c r="B37" s="68" t="s">
        <v>200</v>
      </c>
      <c r="C37" s="68" t="s">
        <v>212</v>
      </c>
      <c r="D37" s="68" t="s">
        <v>179</v>
      </c>
      <c r="E37" s="68" t="s">
        <v>215</v>
      </c>
      <c r="F37" s="68" t="s">
        <v>181</v>
      </c>
      <c r="G37" s="68" t="s">
        <v>231</v>
      </c>
      <c r="H37" s="69">
        <f>1.51*2.39</f>
        <v>3.6089000000000002</v>
      </c>
      <c r="I37" s="68">
        <v>2</v>
      </c>
      <c r="J37" s="69">
        <f t="shared" si="0"/>
        <v>7.2178000000000004</v>
      </c>
    </row>
    <row r="38" spans="1:10" x14ac:dyDescent="0.25">
      <c r="A38" s="68" t="s">
        <v>176</v>
      </c>
      <c r="B38" s="68" t="s">
        <v>200</v>
      </c>
      <c r="C38" s="68" t="s">
        <v>212</v>
      </c>
      <c r="D38" s="68" t="s">
        <v>179</v>
      </c>
      <c r="E38" s="68" t="s">
        <v>218</v>
      </c>
      <c r="F38" s="68" t="s">
        <v>181</v>
      </c>
      <c r="G38" s="68" t="s">
        <v>232</v>
      </c>
      <c r="H38" s="69">
        <f>2.33*4.52</f>
        <v>10.531599999999999</v>
      </c>
      <c r="I38" s="68">
        <v>4</v>
      </c>
      <c r="J38" s="69">
        <f t="shared" si="0"/>
        <v>42.126399999999997</v>
      </c>
    </row>
    <row r="39" spans="1:10" x14ac:dyDescent="0.25">
      <c r="A39" s="68" t="s">
        <v>176</v>
      </c>
      <c r="B39" s="68" t="s">
        <v>200</v>
      </c>
      <c r="C39" s="68" t="s">
        <v>212</v>
      </c>
      <c r="D39" s="68" t="s">
        <v>179</v>
      </c>
      <c r="E39" s="68" t="s">
        <v>227</v>
      </c>
      <c r="F39" s="68" t="s">
        <v>181</v>
      </c>
      <c r="G39" s="68" t="s">
        <v>233</v>
      </c>
      <c r="H39" s="69">
        <f>0.9*4.76</f>
        <v>4.2839999999999998</v>
      </c>
      <c r="I39" s="68">
        <v>4</v>
      </c>
      <c r="J39" s="69">
        <f t="shared" si="0"/>
        <v>17.135999999999999</v>
      </c>
    </row>
    <row r="40" spans="1:10" x14ac:dyDescent="0.25">
      <c r="A40" s="68" t="s">
        <v>176</v>
      </c>
      <c r="B40" s="68" t="s">
        <v>200</v>
      </c>
      <c r="C40" s="68" t="s">
        <v>212</v>
      </c>
      <c r="D40" s="68" t="s">
        <v>179</v>
      </c>
      <c r="E40" s="68" t="s">
        <v>234</v>
      </c>
      <c r="F40" s="68" t="s">
        <v>181</v>
      </c>
      <c r="G40" s="68" t="s">
        <v>235</v>
      </c>
      <c r="H40" s="69">
        <f>0.9*1.2</f>
        <v>1.08</v>
      </c>
      <c r="I40" s="68">
        <v>4</v>
      </c>
      <c r="J40" s="69">
        <f t="shared" si="0"/>
        <v>4.32</v>
      </c>
    </row>
    <row r="41" spans="1:10" x14ac:dyDescent="0.25">
      <c r="A41" s="68" t="s">
        <v>191</v>
      </c>
      <c r="B41" s="68" t="s">
        <v>211</v>
      </c>
      <c r="C41" s="68" t="s">
        <v>212</v>
      </c>
      <c r="D41" s="70" t="s">
        <v>179</v>
      </c>
      <c r="E41" s="70" t="s">
        <v>213</v>
      </c>
      <c r="F41" s="70" t="s">
        <v>181</v>
      </c>
      <c r="G41" s="70" t="s">
        <v>236</v>
      </c>
      <c r="H41" s="69">
        <f>1.19*(1.39+1.51)/2</f>
        <v>1.7254999999999998</v>
      </c>
      <c r="I41" s="70">
        <v>1</v>
      </c>
      <c r="J41" s="69">
        <f t="shared" si="0"/>
        <v>1.7254999999999998</v>
      </c>
    </row>
    <row r="42" spans="1:10" x14ac:dyDescent="0.25">
      <c r="A42" s="68" t="s">
        <v>191</v>
      </c>
      <c r="B42" s="68" t="s">
        <v>177</v>
      </c>
      <c r="C42" s="68" t="s">
        <v>212</v>
      </c>
      <c r="D42" s="70" t="s">
        <v>179</v>
      </c>
      <c r="E42" s="68" t="s">
        <v>215</v>
      </c>
      <c r="F42" s="70" t="s">
        <v>181</v>
      </c>
      <c r="G42" s="70" t="s">
        <v>237</v>
      </c>
      <c r="H42" s="69">
        <f>1.4*(1.74+1.93)/2</f>
        <v>2.569</v>
      </c>
      <c r="I42" s="70">
        <v>1</v>
      </c>
      <c r="J42" s="69">
        <f t="shared" si="0"/>
        <v>2.569</v>
      </c>
    </row>
    <row r="43" spans="1:10" x14ac:dyDescent="0.25">
      <c r="A43" s="68" t="s">
        <v>191</v>
      </c>
      <c r="B43" s="68" t="s">
        <v>177</v>
      </c>
      <c r="C43" s="68" t="s">
        <v>212</v>
      </c>
      <c r="D43" s="70" t="s">
        <v>179</v>
      </c>
      <c r="E43" s="68" t="s">
        <v>215</v>
      </c>
      <c r="F43" s="70" t="s">
        <v>181</v>
      </c>
      <c r="G43" s="70" t="s">
        <v>238</v>
      </c>
      <c r="H43" s="69">
        <f>1.8*(2.02+2.35)/2</f>
        <v>3.9330000000000003</v>
      </c>
      <c r="I43" s="70">
        <v>4</v>
      </c>
      <c r="J43" s="69">
        <f t="shared" si="0"/>
        <v>15.732000000000001</v>
      </c>
    </row>
    <row r="44" spans="1:10" x14ac:dyDescent="0.25">
      <c r="A44" s="68" t="s">
        <v>191</v>
      </c>
      <c r="B44" s="68" t="s">
        <v>177</v>
      </c>
      <c r="C44" s="68" t="s">
        <v>212</v>
      </c>
      <c r="D44" s="70" t="s">
        <v>179</v>
      </c>
      <c r="E44" s="68" t="s">
        <v>215</v>
      </c>
      <c r="F44" s="70" t="s">
        <v>181</v>
      </c>
      <c r="G44" s="70" t="s">
        <v>239</v>
      </c>
      <c r="H44" s="69">
        <f>1.55*(2.04+2.26)/2</f>
        <v>3.3325</v>
      </c>
      <c r="I44" s="70">
        <v>4</v>
      </c>
      <c r="J44" s="69">
        <f t="shared" si="0"/>
        <v>13.33</v>
      </c>
    </row>
    <row r="45" spans="1:10" x14ac:dyDescent="0.25">
      <c r="A45" s="68" t="s">
        <v>191</v>
      </c>
      <c r="B45" s="68" t="s">
        <v>177</v>
      </c>
      <c r="C45" s="68" t="s">
        <v>212</v>
      </c>
      <c r="D45" s="70" t="s">
        <v>179</v>
      </c>
      <c r="E45" s="68" t="s">
        <v>240</v>
      </c>
      <c r="F45" s="70" t="s">
        <v>181</v>
      </c>
      <c r="G45" s="70" t="s">
        <v>241</v>
      </c>
      <c r="H45" s="69">
        <f>1.96*(1.6+2.3)/2</f>
        <v>3.8220000000000001</v>
      </c>
      <c r="I45" s="70">
        <v>3</v>
      </c>
      <c r="J45" s="69">
        <f t="shared" si="0"/>
        <v>11.466000000000001</v>
      </c>
    </row>
    <row r="46" spans="1:10" x14ac:dyDescent="0.25">
      <c r="A46" s="68" t="s">
        <v>191</v>
      </c>
      <c r="B46" s="68" t="s">
        <v>185</v>
      </c>
      <c r="C46" s="68" t="s">
        <v>212</v>
      </c>
      <c r="D46" s="70" t="s">
        <v>179</v>
      </c>
      <c r="E46" s="68" t="s">
        <v>215</v>
      </c>
      <c r="F46" s="70" t="s">
        <v>181</v>
      </c>
      <c r="G46" s="70" t="s">
        <v>242</v>
      </c>
      <c r="H46" s="69">
        <f>1.77*(2.11+2.35)/2</f>
        <v>3.9470999999999998</v>
      </c>
      <c r="I46" s="70">
        <v>4</v>
      </c>
      <c r="J46" s="69">
        <f t="shared" si="0"/>
        <v>15.788399999999999</v>
      </c>
    </row>
    <row r="47" spans="1:10" x14ac:dyDescent="0.25">
      <c r="A47" s="68" t="s">
        <v>191</v>
      </c>
      <c r="B47" s="68" t="s">
        <v>185</v>
      </c>
      <c r="C47" s="68" t="s">
        <v>212</v>
      </c>
      <c r="D47" s="70" t="s">
        <v>179</v>
      </c>
      <c r="E47" s="68" t="s">
        <v>215</v>
      </c>
      <c r="F47" s="70" t="s">
        <v>181</v>
      </c>
      <c r="G47" s="70" t="s">
        <v>243</v>
      </c>
      <c r="H47" s="69">
        <f>1.5*(2.11+2.32)/2</f>
        <v>3.3224999999999998</v>
      </c>
      <c r="I47" s="70">
        <v>4</v>
      </c>
      <c r="J47" s="69">
        <f t="shared" si="0"/>
        <v>13.29</v>
      </c>
    </row>
    <row r="48" spans="1:10" x14ac:dyDescent="0.25">
      <c r="A48" s="68" t="s">
        <v>191</v>
      </c>
      <c r="B48" s="68" t="s">
        <v>185</v>
      </c>
      <c r="C48" s="68" t="s">
        <v>212</v>
      </c>
      <c r="D48" s="70" t="s">
        <v>179</v>
      </c>
      <c r="E48" s="68" t="s">
        <v>240</v>
      </c>
      <c r="F48" s="70" t="s">
        <v>181</v>
      </c>
      <c r="G48" s="70" t="s">
        <v>244</v>
      </c>
      <c r="H48" s="69">
        <f>1.96*(1.53+2.34)/2</f>
        <v>3.7926000000000002</v>
      </c>
      <c r="I48" s="70">
        <v>3</v>
      </c>
      <c r="J48" s="69">
        <f t="shared" si="0"/>
        <v>11.377800000000001</v>
      </c>
    </row>
    <row r="49" spans="1:10" x14ac:dyDescent="0.25">
      <c r="A49" s="68" t="s">
        <v>191</v>
      </c>
      <c r="B49" s="68" t="s">
        <v>200</v>
      </c>
      <c r="C49" s="68" t="s">
        <v>212</v>
      </c>
      <c r="D49" s="70" t="s">
        <v>179</v>
      </c>
      <c r="E49" s="68" t="s">
        <v>215</v>
      </c>
      <c r="F49" s="70" t="s">
        <v>181</v>
      </c>
      <c r="G49" s="70" t="s">
        <v>245</v>
      </c>
      <c r="H49" s="69">
        <f>1.69*(2.12+2.35)/2</f>
        <v>3.7771500000000002</v>
      </c>
      <c r="I49" s="70">
        <v>4</v>
      </c>
      <c r="J49" s="69">
        <f t="shared" si="0"/>
        <v>15.108600000000001</v>
      </c>
    </row>
    <row r="50" spans="1:10" x14ac:dyDescent="0.25">
      <c r="A50" s="68" t="s">
        <v>191</v>
      </c>
      <c r="B50" s="68" t="s">
        <v>200</v>
      </c>
      <c r="C50" s="68" t="s">
        <v>212</v>
      </c>
      <c r="D50" s="70" t="s">
        <v>179</v>
      </c>
      <c r="E50" s="68" t="s">
        <v>215</v>
      </c>
      <c r="F50" s="70" t="s">
        <v>181</v>
      </c>
      <c r="G50" s="70" t="s">
        <v>246</v>
      </c>
      <c r="H50" s="69">
        <f>1.55*(2.12+2.35)/2</f>
        <v>3.4642500000000007</v>
      </c>
      <c r="I50" s="70">
        <v>4</v>
      </c>
      <c r="J50" s="69">
        <f t="shared" si="0"/>
        <v>13.857000000000003</v>
      </c>
    </row>
    <row r="51" spans="1:10" x14ac:dyDescent="0.25">
      <c r="A51" s="68" t="s">
        <v>191</v>
      </c>
      <c r="B51" s="68" t="s">
        <v>200</v>
      </c>
      <c r="C51" s="68" t="s">
        <v>212</v>
      </c>
      <c r="D51" s="70" t="s">
        <v>179</v>
      </c>
      <c r="E51" s="68" t="s">
        <v>240</v>
      </c>
      <c r="F51" s="70" t="s">
        <v>181</v>
      </c>
      <c r="G51" s="70" t="s">
        <v>247</v>
      </c>
      <c r="H51" s="69">
        <f>1.96*(1.51+2.34)/2</f>
        <v>3.7729999999999997</v>
      </c>
      <c r="I51" s="70">
        <v>3</v>
      </c>
      <c r="J51" s="69">
        <f t="shared" si="0"/>
        <v>11.318999999999999</v>
      </c>
    </row>
    <row r="52" spans="1:10" x14ac:dyDescent="0.25">
      <c r="A52" s="68" t="s">
        <v>191</v>
      </c>
      <c r="B52" s="68" t="s">
        <v>200</v>
      </c>
      <c r="C52" s="68" t="s">
        <v>212</v>
      </c>
      <c r="D52" s="70" t="s">
        <v>179</v>
      </c>
      <c r="E52" s="68" t="s">
        <v>215</v>
      </c>
      <c r="F52" s="70" t="s">
        <v>181</v>
      </c>
      <c r="G52" s="70" t="s">
        <v>248</v>
      </c>
      <c r="H52" s="69">
        <f>1.41*(2.04+2.25)/2</f>
        <v>3.0244499999999999</v>
      </c>
      <c r="I52" s="70">
        <v>2</v>
      </c>
      <c r="J52" s="69">
        <f t="shared" si="0"/>
        <v>6.0488999999999997</v>
      </c>
    </row>
    <row r="53" spans="1:10" x14ac:dyDescent="0.25">
      <c r="A53" s="68" t="s">
        <v>195</v>
      </c>
      <c r="B53" s="68" t="s">
        <v>177</v>
      </c>
      <c r="C53" s="68" t="s">
        <v>212</v>
      </c>
      <c r="D53" s="70" t="s">
        <v>179</v>
      </c>
      <c r="E53" s="68" t="s">
        <v>215</v>
      </c>
      <c r="F53" s="70" t="s">
        <v>181</v>
      </c>
      <c r="G53" s="70" t="s">
        <v>249</v>
      </c>
      <c r="H53" s="69">
        <f>1.35*(1.41+1.57)/2</f>
        <v>2.0115000000000003</v>
      </c>
      <c r="I53" s="70">
        <v>4</v>
      </c>
      <c r="J53" s="69">
        <f t="shared" si="0"/>
        <v>8.0460000000000012</v>
      </c>
    </row>
    <row r="54" spans="1:10" x14ac:dyDescent="0.25">
      <c r="A54" s="68" t="s">
        <v>195</v>
      </c>
      <c r="B54" s="68" t="s">
        <v>177</v>
      </c>
      <c r="C54" s="68" t="s">
        <v>212</v>
      </c>
      <c r="D54" s="70" t="s">
        <v>179</v>
      </c>
      <c r="E54" s="68" t="s">
        <v>215</v>
      </c>
      <c r="F54" s="70" t="s">
        <v>181</v>
      </c>
      <c r="G54" s="70" t="s">
        <v>250</v>
      </c>
      <c r="H54" s="69">
        <f>1.32*(3.06+3.22)/2</f>
        <v>4.1448</v>
      </c>
      <c r="I54" s="70">
        <v>1</v>
      </c>
      <c r="J54" s="69">
        <f t="shared" si="0"/>
        <v>4.1448</v>
      </c>
    </row>
    <row r="55" spans="1:10" x14ac:dyDescent="0.25">
      <c r="A55" s="68" t="s">
        <v>195</v>
      </c>
      <c r="B55" s="68" t="s">
        <v>177</v>
      </c>
      <c r="C55" s="68" t="s">
        <v>212</v>
      </c>
      <c r="D55" s="70" t="s">
        <v>179</v>
      </c>
      <c r="E55" s="68" t="s">
        <v>215</v>
      </c>
      <c r="F55" s="70" t="s">
        <v>181</v>
      </c>
      <c r="G55" s="70" t="s">
        <v>251</v>
      </c>
      <c r="H55" s="69">
        <f>1.38*(2.04+2.23)/2</f>
        <v>2.9462999999999995</v>
      </c>
      <c r="I55" s="70">
        <v>1</v>
      </c>
      <c r="J55" s="69">
        <f t="shared" si="0"/>
        <v>2.9462999999999995</v>
      </c>
    </row>
    <row r="56" spans="1:10" x14ac:dyDescent="0.25">
      <c r="A56" s="68" t="s">
        <v>195</v>
      </c>
      <c r="B56" s="68" t="s">
        <v>177</v>
      </c>
      <c r="C56" s="68" t="s">
        <v>212</v>
      </c>
      <c r="D56" s="70" t="s">
        <v>179</v>
      </c>
      <c r="E56" s="68" t="s">
        <v>215</v>
      </c>
      <c r="F56" s="70" t="s">
        <v>181</v>
      </c>
      <c r="G56" s="70" t="s">
        <v>216</v>
      </c>
      <c r="H56" s="69">
        <f>1.75*(2.1+2.35)/2</f>
        <v>3.8937500000000003</v>
      </c>
      <c r="I56" s="70">
        <v>3</v>
      </c>
      <c r="J56" s="69">
        <f t="shared" si="0"/>
        <v>11.68125</v>
      </c>
    </row>
    <row r="57" spans="1:10" x14ac:dyDescent="0.25">
      <c r="A57" s="68" t="s">
        <v>195</v>
      </c>
      <c r="B57" s="68" t="s">
        <v>185</v>
      </c>
      <c r="C57" s="68" t="s">
        <v>212</v>
      </c>
      <c r="D57" s="70" t="s">
        <v>179</v>
      </c>
      <c r="E57" s="68" t="s">
        <v>215</v>
      </c>
      <c r="F57" s="70" t="s">
        <v>181</v>
      </c>
      <c r="G57" s="70" t="s">
        <v>252</v>
      </c>
      <c r="H57" s="69">
        <f>1.4*(2.05+2.25)/2</f>
        <v>3.01</v>
      </c>
      <c r="I57" s="70">
        <v>2</v>
      </c>
      <c r="J57" s="69">
        <f t="shared" si="0"/>
        <v>6.02</v>
      </c>
    </row>
    <row r="58" spans="1:10" x14ac:dyDescent="0.25">
      <c r="A58" s="68" t="s">
        <v>195</v>
      </c>
      <c r="B58" s="68" t="s">
        <v>185</v>
      </c>
      <c r="C58" s="68" t="s">
        <v>212</v>
      </c>
      <c r="D58" s="70" t="s">
        <v>179</v>
      </c>
      <c r="E58" s="68" t="s">
        <v>215</v>
      </c>
      <c r="F58" s="70" t="s">
        <v>181</v>
      </c>
      <c r="G58" s="70" t="s">
        <v>253</v>
      </c>
      <c r="H58" s="69">
        <f>1.35*(2.04+2.25)/2</f>
        <v>2.89575</v>
      </c>
      <c r="I58" s="70">
        <v>4</v>
      </c>
      <c r="J58" s="69">
        <f t="shared" si="0"/>
        <v>11.583</v>
      </c>
    </row>
    <row r="59" spans="1:10" x14ac:dyDescent="0.25">
      <c r="A59" s="68" t="s">
        <v>195</v>
      </c>
      <c r="B59" s="68" t="s">
        <v>185</v>
      </c>
      <c r="C59" s="68" t="s">
        <v>212</v>
      </c>
      <c r="D59" s="70" t="s">
        <v>179</v>
      </c>
      <c r="E59" s="68" t="s">
        <v>215</v>
      </c>
      <c r="F59" s="70" t="s">
        <v>181</v>
      </c>
      <c r="G59" s="70" t="s">
        <v>254</v>
      </c>
      <c r="H59" s="69">
        <f>1.78*1.22</f>
        <v>2.1716000000000002</v>
      </c>
      <c r="I59" s="70">
        <v>1</v>
      </c>
      <c r="J59" s="69">
        <f t="shared" si="0"/>
        <v>2.1716000000000002</v>
      </c>
    </row>
    <row r="60" spans="1:10" x14ac:dyDescent="0.25">
      <c r="A60" s="68" t="s">
        <v>195</v>
      </c>
      <c r="B60" s="68" t="s">
        <v>185</v>
      </c>
      <c r="C60" s="68" t="s">
        <v>212</v>
      </c>
      <c r="D60" s="70" t="s">
        <v>179</v>
      </c>
      <c r="E60" s="68" t="s">
        <v>215</v>
      </c>
      <c r="F60" s="70" t="s">
        <v>181</v>
      </c>
      <c r="G60" s="70" t="s">
        <v>255</v>
      </c>
      <c r="H60" s="69">
        <f>1.76*2.35</f>
        <v>4.1360000000000001</v>
      </c>
      <c r="I60" s="70">
        <v>4</v>
      </c>
      <c r="J60" s="69">
        <f t="shared" si="0"/>
        <v>16.544</v>
      </c>
    </row>
    <row r="61" spans="1:10" x14ac:dyDescent="0.25">
      <c r="A61" s="68" t="s">
        <v>195</v>
      </c>
      <c r="B61" s="68" t="s">
        <v>200</v>
      </c>
      <c r="C61" s="68" t="s">
        <v>212</v>
      </c>
      <c r="D61" s="70" t="s">
        <v>179</v>
      </c>
      <c r="E61" s="68" t="s">
        <v>215</v>
      </c>
      <c r="F61" s="70" t="s">
        <v>181</v>
      </c>
      <c r="G61" s="70" t="s">
        <v>253</v>
      </c>
      <c r="H61" s="69">
        <f>1.35*(2.04+2.25)/2</f>
        <v>2.89575</v>
      </c>
      <c r="I61" s="70">
        <v>6</v>
      </c>
      <c r="J61" s="69">
        <f t="shared" si="0"/>
        <v>17.374500000000001</v>
      </c>
    </row>
    <row r="62" spans="1:10" x14ac:dyDescent="0.25">
      <c r="A62" s="68" t="s">
        <v>195</v>
      </c>
      <c r="B62" s="68" t="s">
        <v>200</v>
      </c>
      <c r="C62" s="68" t="s">
        <v>212</v>
      </c>
      <c r="D62" s="70" t="s">
        <v>179</v>
      </c>
      <c r="E62" s="68" t="s">
        <v>215</v>
      </c>
      <c r="F62" s="70" t="s">
        <v>181</v>
      </c>
      <c r="G62" s="70" t="s">
        <v>256</v>
      </c>
      <c r="H62" s="69">
        <f>1.69*(2.13+2.39)/2</f>
        <v>3.8193999999999995</v>
      </c>
      <c r="I62" s="70">
        <v>4</v>
      </c>
      <c r="J62" s="69">
        <f t="shared" si="0"/>
        <v>15.277599999999998</v>
      </c>
    </row>
    <row r="63" spans="1:10" x14ac:dyDescent="0.25">
      <c r="A63" s="68" t="s">
        <v>202</v>
      </c>
      <c r="B63" s="68" t="s">
        <v>177</v>
      </c>
      <c r="C63" s="68" t="s">
        <v>212</v>
      </c>
      <c r="D63" s="68" t="s">
        <v>179</v>
      </c>
      <c r="E63" s="68" t="s">
        <v>215</v>
      </c>
      <c r="F63" s="70" t="s">
        <v>181</v>
      </c>
      <c r="G63" s="70" t="s">
        <v>257</v>
      </c>
      <c r="H63" s="69">
        <f>1.4*(2.04+2.24)/2</f>
        <v>2.996</v>
      </c>
      <c r="I63" s="70">
        <v>5</v>
      </c>
      <c r="J63" s="69">
        <f t="shared" si="0"/>
        <v>14.98</v>
      </c>
    </row>
    <row r="64" spans="1:10" x14ac:dyDescent="0.25">
      <c r="A64" s="68" t="s">
        <v>202</v>
      </c>
      <c r="B64" s="68" t="s">
        <v>177</v>
      </c>
      <c r="C64" s="68" t="s">
        <v>212</v>
      </c>
      <c r="D64" s="68" t="s">
        <v>179</v>
      </c>
      <c r="E64" s="68" t="s">
        <v>258</v>
      </c>
      <c r="F64" s="70" t="s">
        <v>181</v>
      </c>
      <c r="G64" s="68" t="s">
        <v>259</v>
      </c>
      <c r="H64" s="68">
        <f>1.95*0.5</f>
        <v>0.97499999999999998</v>
      </c>
      <c r="I64" s="68">
        <v>1</v>
      </c>
      <c r="J64" s="68">
        <f t="shared" si="0"/>
        <v>0.97499999999999998</v>
      </c>
    </row>
    <row r="65" spans="1:10" x14ac:dyDescent="0.25">
      <c r="A65" s="68" t="s">
        <v>202</v>
      </c>
      <c r="B65" s="68" t="s">
        <v>185</v>
      </c>
      <c r="C65" s="68" t="s">
        <v>212</v>
      </c>
      <c r="D65" s="68" t="s">
        <v>179</v>
      </c>
      <c r="E65" s="68" t="s">
        <v>215</v>
      </c>
      <c r="F65" s="70" t="s">
        <v>181</v>
      </c>
      <c r="G65" s="70" t="s">
        <v>260</v>
      </c>
      <c r="H65" s="69">
        <f>1.4*(2.04+2.25)/2</f>
        <v>3.0029999999999997</v>
      </c>
      <c r="I65" s="70">
        <v>7</v>
      </c>
      <c r="J65" s="69">
        <f t="shared" si="0"/>
        <v>21.020999999999997</v>
      </c>
    </row>
    <row r="66" spans="1:10" x14ac:dyDescent="0.25">
      <c r="A66" s="68" t="s">
        <v>202</v>
      </c>
      <c r="B66" s="68" t="s">
        <v>200</v>
      </c>
      <c r="C66" s="68" t="s">
        <v>212</v>
      </c>
      <c r="D66" s="68" t="s">
        <v>179</v>
      </c>
      <c r="E66" s="68" t="s">
        <v>218</v>
      </c>
      <c r="F66" s="68" t="s">
        <v>181</v>
      </c>
      <c r="G66" s="68" t="s">
        <v>261</v>
      </c>
      <c r="H66" s="69">
        <f>2.32*4.52</f>
        <v>10.486399999999998</v>
      </c>
      <c r="I66" s="68">
        <v>4</v>
      </c>
      <c r="J66" s="69">
        <f t="shared" si="0"/>
        <v>41.945599999999992</v>
      </c>
    </row>
    <row r="67" spans="1:10" x14ac:dyDescent="0.25">
      <c r="A67" s="68" t="s">
        <v>202</v>
      </c>
      <c r="B67" s="68" t="s">
        <v>200</v>
      </c>
      <c r="C67" s="68" t="s">
        <v>212</v>
      </c>
      <c r="D67" s="68" t="s">
        <v>179</v>
      </c>
      <c r="E67" s="68" t="s">
        <v>215</v>
      </c>
      <c r="F67" s="68" t="s">
        <v>181</v>
      </c>
      <c r="G67" s="70" t="s">
        <v>260</v>
      </c>
      <c r="H67" s="69">
        <f>1.4*(2.04+2.25)/2</f>
        <v>3.0029999999999997</v>
      </c>
      <c r="I67" s="68">
        <v>4</v>
      </c>
      <c r="J67" s="69">
        <f t="shared" si="0"/>
        <v>12.011999999999999</v>
      </c>
    </row>
    <row r="68" spans="1:10" x14ac:dyDescent="0.25">
      <c r="A68" s="68"/>
      <c r="B68" s="68" t="s">
        <v>177</v>
      </c>
      <c r="C68" s="68" t="s">
        <v>212</v>
      </c>
      <c r="D68" s="68" t="s">
        <v>207</v>
      </c>
      <c r="E68" s="68" t="s">
        <v>208</v>
      </c>
      <c r="F68" s="68" t="s">
        <v>181</v>
      </c>
      <c r="G68" s="68" t="s">
        <v>262</v>
      </c>
      <c r="H68" s="69">
        <f>2.75*3.75</f>
        <v>10.3125</v>
      </c>
      <c r="I68" s="68">
        <v>1</v>
      </c>
      <c r="J68" s="69">
        <f t="shared" ref="J68:J79" si="1">H68*I68</f>
        <v>10.3125</v>
      </c>
    </row>
    <row r="69" spans="1:10" x14ac:dyDescent="0.25">
      <c r="A69" s="68"/>
      <c r="B69" s="68" t="s">
        <v>177</v>
      </c>
      <c r="C69" s="68" t="s">
        <v>212</v>
      </c>
      <c r="D69" s="68" t="s">
        <v>207</v>
      </c>
      <c r="E69" s="68" t="s">
        <v>208</v>
      </c>
      <c r="F69" s="68" t="s">
        <v>181</v>
      </c>
      <c r="G69" s="68" t="s">
        <v>263</v>
      </c>
      <c r="H69" s="69">
        <f>2.66*(3.15+3.45)/2</f>
        <v>8.7780000000000005</v>
      </c>
      <c r="I69" s="68">
        <v>4</v>
      </c>
      <c r="J69" s="69">
        <f t="shared" si="1"/>
        <v>35.112000000000002</v>
      </c>
    </row>
    <row r="70" spans="1:10" x14ac:dyDescent="0.25">
      <c r="A70" s="68"/>
      <c r="B70" s="68" t="s">
        <v>185</v>
      </c>
      <c r="C70" s="68" t="s">
        <v>212</v>
      </c>
      <c r="D70" s="68" t="s">
        <v>207</v>
      </c>
      <c r="E70" s="68" t="s">
        <v>208</v>
      </c>
      <c r="F70" s="68" t="s">
        <v>181</v>
      </c>
      <c r="G70" s="68" t="s">
        <v>262</v>
      </c>
      <c r="H70" s="69">
        <f>2.75*3.75</f>
        <v>10.3125</v>
      </c>
      <c r="I70" s="68">
        <v>1</v>
      </c>
      <c r="J70" s="69">
        <f t="shared" si="1"/>
        <v>10.3125</v>
      </c>
    </row>
    <row r="71" spans="1:10" x14ac:dyDescent="0.25">
      <c r="A71" s="68"/>
      <c r="B71" s="68" t="s">
        <v>185</v>
      </c>
      <c r="C71" s="68" t="s">
        <v>212</v>
      </c>
      <c r="D71" s="68" t="s">
        <v>207</v>
      </c>
      <c r="E71" s="68" t="s">
        <v>208</v>
      </c>
      <c r="F71" s="68" t="s">
        <v>181</v>
      </c>
      <c r="G71" s="68" t="s">
        <v>263</v>
      </c>
      <c r="H71" s="69">
        <f>2.66*(3.15+3.45)/2</f>
        <v>8.7780000000000005</v>
      </c>
      <c r="I71" s="68">
        <v>4</v>
      </c>
      <c r="J71" s="69">
        <f t="shared" si="1"/>
        <v>35.112000000000002</v>
      </c>
    </row>
    <row r="72" spans="1:10" x14ac:dyDescent="0.25">
      <c r="A72" s="68"/>
      <c r="B72" s="68" t="s">
        <v>200</v>
      </c>
      <c r="C72" s="68" t="s">
        <v>212</v>
      </c>
      <c r="D72" s="68" t="s">
        <v>207</v>
      </c>
      <c r="E72" s="68" t="s">
        <v>208</v>
      </c>
      <c r="F72" s="68" t="s">
        <v>181</v>
      </c>
      <c r="G72" s="68" t="s">
        <v>264</v>
      </c>
      <c r="H72" s="69">
        <f>3*3.75</f>
        <v>11.25</v>
      </c>
      <c r="I72" s="68">
        <v>1</v>
      </c>
      <c r="J72" s="69">
        <f t="shared" si="1"/>
        <v>11.25</v>
      </c>
    </row>
    <row r="73" spans="1:10" x14ac:dyDescent="0.25">
      <c r="A73" s="68"/>
      <c r="B73" s="68" t="s">
        <v>200</v>
      </c>
      <c r="C73" s="68" t="s">
        <v>212</v>
      </c>
      <c r="D73" s="68" t="s">
        <v>207</v>
      </c>
      <c r="E73" s="68" t="s">
        <v>208</v>
      </c>
      <c r="F73" s="68" t="s">
        <v>181</v>
      </c>
      <c r="G73" s="68" t="s">
        <v>265</v>
      </c>
      <c r="H73" s="69">
        <f>2.77*(3.15+3.45)/2</f>
        <v>9.141</v>
      </c>
      <c r="I73" s="68">
        <v>1</v>
      </c>
      <c r="J73" s="69">
        <f t="shared" si="1"/>
        <v>9.141</v>
      </c>
    </row>
    <row r="74" spans="1:10" x14ac:dyDescent="0.25">
      <c r="A74" s="68"/>
      <c r="B74" s="68" t="s">
        <v>200</v>
      </c>
      <c r="C74" s="68" t="s">
        <v>212</v>
      </c>
      <c r="D74" s="68" t="s">
        <v>207</v>
      </c>
      <c r="E74" s="68" t="s">
        <v>208</v>
      </c>
      <c r="F74" s="68" t="s">
        <v>181</v>
      </c>
      <c r="G74" s="68" t="s">
        <v>266</v>
      </c>
      <c r="H74" s="69">
        <f>2.66*(3.15+3.45)/2</f>
        <v>8.7780000000000005</v>
      </c>
      <c r="I74" s="68">
        <v>1</v>
      </c>
      <c r="J74" s="69">
        <f t="shared" si="1"/>
        <v>8.7780000000000005</v>
      </c>
    </row>
    <row r="75" spans="1:10" x14ac:dyDescent="0.25">
      <c r="A75" s="68" t="s">
        <v>191</v>
      </c>
      <c r="B75" s="68" t="s">
        <v>211</v>
      </c>
      <c r="C75" s="68" t="s">
        <v>267</v>
      </c>
      <c r="D75" s="70" t="s">
        <v>179</v>
      </c>
      <c r="E75" s="70" t="s">
        <v>213</v>
      </c>
      <c r="F75" s="70" t="s">
        <v>181</v>
      </c>
      <c r="G75" s="70" t="s">
        <v>268</v>
      </c>
      <c r="H75" s="69">
        <f>1.14*(0.82+0.92)/2</f>
        <v>0.9917999999999999</v>
      </c>
      <c r="I75" s="70">
        <v>4</v>
      </c>
      <c r="J75" s="69">
        <f t="shared" si="1"/>
        <v>3.9671999999999996</v>
      </c>
    </row>
    <row r="76" spans="1:10" x14ac:dyDescent="0.25">
      <c r="A76" s="68" t="s">
        <v>191</v>
      </c>
      <c r="B76" s="68" t="s">
        <v>211</v>
      </c>
      <c r="C76" s="68" t="s">
        <v>267</v>
      </c>
      <c r="D76" s="70" t="s">
        <v>179</v>
      </c>
      <c r="E76" s="70" t="s">
        <v>213</v>
      </c>
      <c r="F76" s="70" t="s">
        <v>181</v>
      </c>
      <c r="G76" s="70" t="s">
        <v>269</v>
      </c>
      <c r="H76" s="69">
        <f>1.65*(0.87+0.98)/2</f>
        <v>1.5262499999999999</v>
      </c>
      <c r="I76" s="70">
        <v>2</v>
      </c>
      <c r="J76" s="69">
        <f t="shared" si="1"/>
        <v>3.0524999999999998</v>
      </c>
    </row>
    <row r="77" spans="1:10" x14ac:dyDescent="0.25">
      <c r="A77" s="68" t="s">
        <v>191</v>
      </c>
      <c r="B77" s="68" t="s">
        <v>185</v>
      </c>
      <c r="C77" s="68" t="s">
        <v>267</v>
      </c>
      <c r="D77" s="70" t="s">
        <v>179</v>
      </c>
      <c r="E77" s="68" t="s">
        <v>240</v>
      </c>
      <c r="F77" s="70" t="s">
        <v>181</v>
      </c>
      <c r="G77" s="70" t="s">
        <v>270</v>
      </c>
      <c r="H77" s="69">
        <f>2.04*(2.27+3.06)/2</f>
        <v>5.4366000000000003</v>
      </c>
      <c r="I77" s="70">
        <v>6</v>
      </c>
      <c r="J77" s="69">
        <f t="shared" si="1"/>
        <v>32.619600000000005</v>
      </c>
    </row>
    <row r="78" spans="1:10" x14ac:dyDescent="0.25">
      <c r="A78" s="68" t="s">
        <v>195</v>
      </c>
      <c r="B78" s="68" t="s">
        <v>185</v>
      </c>
      <c r="C78" s="68" t="s">
        <v>267</v>
      </c>
      <c r="D78" s="70" t="s">
        <v>179</v>
      </c>
      <c r="E78" s="68" t="s">
        <v>240</v>
      </c>
      <c r="F78" s="70" t="s">
        <v>181</v>
      </c>
      <c r="G78" s="70" t="s">
        <v>271</v>
      </c>
      <c r="H78" s="69">
        <f>2.06*(2.27+3.06)/2</f>
        <v>5.4899000000000004</v>
      </c>
      <c r="I78" s="70">
        <v>5</v>
      </c>
      <c r="J78" s="69">
        <f t="shared" si="1"/>
        <v>27.4495</v>
      </c>
    </row>
    <row r="79" spans="1:10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9">
        <f t="shared" si="1"/>
        <v>0</v>
      </c>
    </row>
  </sheetData>
  <sheetProtection algorithmName="SHA-512" hashValue="VPfkoFu4HzXbThH8ptSrb6BLnCyphBIQqmQ27+oyFR5E6C9NPcZcT6nA+ZXncaqwdmA4iDqvuIY4wLRqbFPNHA==" saltValue="BhAfOjmlIt6+XABO9vw23Q==" spinCount="100000" sheet="1" objects="1" scenarios="1"/>
  <autoFilter ref="A3:J79" xr:uid="{611357D8-6B85-42FF-A1F2-45A71E5FFAA1}">
    <sortState xmlns:xlrd2="http://schemas.microsoft.com/office/spreadsheetml/2017/richdata2" ref="A4:J79">
      <sortCondition ref="C3"/>
    </sortState>
  </autoFilter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Inhaltsverzeichnis</vt:lpstr>
      <vt:lpstr>Preisübersicht</vt:lpstr>
      <vt:lpstr>SVS GlasRG</vt:lpstr>
      <vt:lpstr>Kal Glas GS Nossen</vt:lpstr>
      <vt:lpstr>Kal Glas TH GS Nossen</vt:lpstr>
      <vt:lpstr>Kal Glas Hort GS Nossen</vt:lpstr>
      <vt:lpstr>Fensterliste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k.tonndorf@nossen.de</dc:creator>
  <cp:lastModifiedBy>k.tonndorf@nossen.de</cp:lastModifiedBy>
  <dcterms:created xsi:type="dcterms:W3CDTF">2024-03-14T09:55:21Z</dcterms:created>
  <dcterms:modified xsi:type="dcterms:W3CDTF">2024-03-26T15:16:15Z</dcterms:modified>
</cp:coreProperties>
</file>